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12.xml" ContentType="application/vnd.openxmlformats-officedocument.spreadsheetml.comments+xml"/>
  <Override PartName="/xl/worksheets/sheet10.xml" ContentType="application/vnd.openxmlformats-officedocument.spreadsheetml.worksheet+xml"/>
  <Override PartName="/xl/comments13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120" windowHeight="8415" activeTab="0"/>
  </bookViews>
  <sheets>
    <sheet name="main sheet" sheetId="1" r:id="rId1"/>
    <sheet name="solar" sheetId="2" r:id="rId2"/>
    <sheet name="heatpump" sheetId="3" r:id="rId3"/>
    <sheet name="hot water heater data" sheetId="4" r:id="rId4"/>
    <sheet name="location data" sheetId="5" r:id="rId5"/>
    <sheet name="Sheet2" sheetId="6" r:id="rId6"/>
    <sheet name="Chart1" sheetId="7" r:id="rId7"/>
    <sheet name="Sheet3" sheetId="8" r:id="rId8"/>
    <sheet name="Sheet4" sheetId="9" r:id="rId9"/>
    <sheet name="Chart3" sheetId="10" r:id="rId10"/>
    <sheet name="Chart2" sheetId="11" r:id="rId11"/>
    <sheet name="grid data" sheetId="12" r:id="rId12"/>
    <sheet name="sunlight" sheetId="13" r:id="rId13"/>
    <sheet name="other" sheetId="14" r:id="rId14"/>
  </sheets>
  <externalReferences>
    <externalReference r:id="rId17"/>
  </externalReferences>
  <definedNames>
    <definedName name="annualenergycost">'main sheet'!$G$23</definedName>
    <definedName name="co2kwh">'main sheet'!$K$26</definedName>
    <definedName name="d">'[1]Sheet2'!$A$4:$Y$94</definedName>
    <definedName name="daysweek">'main sheet'!$K$17</definedName>
    <definedName name="daysyear">'main sheet'!$K$16</definedName>
    <definedName name="efficiency">'other'!$A$22:$A$23</definedName>
    <definedName name="gasorelectric">'other'!$A$18:$A$19</definedName>
    <definedName name="heatpumpdata">'heatpump'!$A$3:$M$27</definedName>
    <definedName name="heatpumptype">'heatpump'!$A$3:$A$27</definedName>
    <definedName name="hotwaterheaterdata">'hot water heater data'!$A$3:$D$7</definedName>
    <definedName name="hotwaterheaternames">'hot water heater data'!$A$3:$A$7</definedName>
    <definedName name="kwhco2">'main sheet'!$K$26</definedName>
    <definedName name="kwhcost">'main sheet'!$K$28</definedName>
    <definedName name="kwhhg">'main sheet'!$K$27</definedName>
    <definedName name="kwhtherm">'main sheet'!$K$19</definedName>
    <definedName name="kwhyear">'main sheet'!$G$16</definedName>
    <definedName name="latitude">'sunlight'!$A$2:$A$92</definedName>
    <definedName name="lifecycle">'other'!$A$26:$A$37</definedName>
    <definedName name="lifecycleanalysis">'main sheet'!$C$65</definedName>
    <definedName name="location">'location data'!$A$2:$A$28</definedName>
    <definedName name="monthsyear">'main sheet'!$K$18</definedName>
    <definedName name="namedropdown">'location data'!$E$32</definedName>
    <definedName name="numpeople">'other'!$A$6:$A$15</definedName>
    <definedName name="placedata">'location data'!$A$2:$K$28</definedName>
    <definedName name="solarcollectordata">'solar'!$A$3:$M$22</definedName>
    <definedName name="solarcollectornames">'solar'!$A$3:$A$22</definedName>
    <definedName name="solarsystemdata">'solar'!$A$29:$K$52</definedName>
    <definedName name="solarsystemnames">'solar'!$A$29:$A$52</definedName>
    <definedName name="solarthermsyear">'main sheet'!$G$40</definedName>
    <definedName name="sunlight">'sunlight'!$A$2:$AE$92</definedName>
    <definedName name="thermcost">'main sheet'!$K$29</definedName>
    <definedName name="thermsyear">'main sheet'!$G$17</definedName>
    <definedName name="waterdata">'hot water heater data'!$A$3:$M$7</definedName>
    <definedName name="yesno">'other'!$A$2:$A$3</definedName>
  </definedNames>
  <calcPr fullCalcOnLoad="1"/>
</workbook>
</file>

<file path=xl/comments1.xml><?xml version="1.0" encoding="utf-8"?>
<comments xmlns="http://schemas.openxmlformats.org/spreadsheetml/2006/main">
  <authors>
    <author>ITS</author>
    <author>adam channel</author>
  </authors>
  <commentList>
    <comment ref="B58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B59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  <comment ref="F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B22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2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K29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K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K36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J43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J4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B33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34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35" authorId="1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</commentList>
</comments>
</file>

<file path=xl/comments12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http://www.eia.doe.gov/cneaf/electricity/epa/epat1p1.html</t>
        </r>
      </text>
    </comment>
  </commentList>
</comments>
</file>

<file path=xl/comments13.xml><?xml version="1.0" encoding="utf-8"?>
<comments xmlns="http://schemas.openxmlformats.org/spreadsheetml/2006/main">
  <authors>
    <author>adam channel</author>
  </authors>
  <commentList>
    <comment ref="A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table based off of values from http://encarta.msn-ppe.com/media_701500905/Hours_of_Daylight_by_Latitude.html; I calculated the intervals and entered them manually though
</t>
        </r>
      </text>
    </comment>
  </commentList>
</comments>
</file>

<file path=xl/comments2.xml><?xml version="1.0" encoding="utf-8"?>
<comments xmlns="http://schemas.openxmlformats.org/spreadsheetml/2006/main">
  <authors>
    <author>adam channel</author>
    <author>ITS</author>
  </authors>
  <commentList>
    <comment ref="G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   Efficiency Equation [NOTE: Based on gross area and (P)=Ti-Taj]</t>
        </r>
      </text>
    </comment>
    <comment ref="F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estimates based off of RCEA presentation on solar thermal technology
</t>
        </r>
      </text>
    </comment>
    <comment ref="E3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4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http://www.eastcoastsolarsystems.com/SPP/SPP-DEALER-PRICE-LIST-2009.pdf</t>
        </r>
      </text>
    </comment>
    <comment ref="E5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http://www.sunearthinc.com/Tech_notes/locked/List%20Price%20Schedule/SunEarth%20List%20Price%20Schedule%20%289-13-06%29.pdf</t>
        </r>
      </text>
    </comment>
    <comment ref="E6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google.com/url?q=http://www.sunearthinc.com/Tech_notes/locked/List%2520Price%2520Schedule/SunEarth%2520List%2520Price%2520Schedule%2520(9-13-06).pdf&amp;ei=essdS5vKGNLDlAfl46SIDA&amp;sa=X&amp;oi=nshc&amp;resnum=1&amp;ct=result&amp;cd=2&amp;ved=0CAwQzgQoAQ&amp;usg=AFQjCNHedZA68LD6z3_JI4tDO53gAIqg9A</t>
        </r>
      </text>
    </comment>
    <comment ref="E8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http://shop.solardirect.com/product_info.php?products_id=729</t>
        </r>
      </text>
    </comment>
  </commentList>
</comments>
</file>

<file path=xl/comments3.xml><?xml version="1.0" encoding="utf-8"?>
<comments xmlns="http://schemas.openxmlformats.org/spreadsheetml/2006/main">
  <authors>
    <author>ITS</author>
  </authors>
  <commentList>
    <comment ref="A1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http://products.geappliances.com/ApplProducts/Dispatcher?REQUEST=SpecPage&amp;Sku=GEH50DNSRSA</t>
        </r>
      </text>
    </comment>
    <comment ref="D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Maples Pumbing in Eureka,  Wallner Plumbing, Heating &amp; Air Conditioning in Redding, and Mickael Winkler estimated instalation cost</t>
        </r>
      </text>
    </comment>
    <comment ref="E2" authorId="0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Michael Winkler owner of airsource heat pump for 13 years stated that maintnence is minimal if any at all. Filter must be cleaned apoximatly one a month by owner. Both Maples Pumbing in Eureka and  Wallner Plumbing, Heating &amp; Air Conditioning in Redding came to the same conclusions.</t>
        </r>
      </text>
    </comment>
  </commentList>
</comments>
</file>

<file path=xl/comments4.xml><?xml version="1.0" encoding="utf-8"?>
<comments xmlns="http://schemas.openxmlformats.org/spreadsheetml/2006/main">
  <authors>
    <author>adam channel</author>
    <author>ITS</author>
  </authors>
  <commentList>
    <comment ref="A5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  <comment ref="D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C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</t>
        </r>
      </text>
    </comment>
    <comment ref="B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http://www.aceee.org/Consumerguide/waterheating.htm
</t>
        </r>
      </text>
    </comment>
    <comment ref="B4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based off of my PGE bill for the month of october in arcata</t>
        </r>
      </text>
    </comment>
    <comment ref="B4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http://trendsetterindustries.com/why-thermal.html</t>
        </r>
      </text>
    </comment>
    <comment ref="B4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http://trendsetterindustries.com/piggyback.html</t>
        </r>
      </text>
    </comment>
    <comment ref="A50" authorId="1">
      <text>
        <r>
          <rPr>
            <b/>
            <sz val="8"/>
            <rFont val="Tahoma"/>
            <family val="2"/>
          </rPr>
          <t>ITS:</t>
        </r>
        <r>
          <rPr>
            <sz val="8"/>
            <rFont val="Tahoma"/>
            <family val="2"/>
          </rPr>
          <t xml:space="preserve">
Defalt setting on Water heaater
</t>
        </r>
      </text>
    </comment>
    <comment ref="A51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http://www.energystar.gov/ia/partners/prod_development/new_specs/downloads/water_heaters/Bosch_052907.pdf
</t>
        </r>
      </text>
    </comment>
  </commentList>
</comments>
</file>

<file path=xl/comments5.xml><?xml version="1.0" encoding="utf-8"?>
<comments xmlns="http://schemas.openxmlformats.org/spreadsheetml/2006/main">
  <authors>
    <author>adam channel</author>
  </authors>
  <commentList>
    <comment ref="A3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http://www.wrcc.dri.edu/cgi-bin/clilcd.pl?ca24257
</t>
        </r>
      </text>
    </comment>
    <comment ref="A2" authorId="0">
      <text>
        <r>
          <rPr>
            <b/>
            <sz val="8"/>
            <rFont val="Tahoma"/>
            <family val="2"/>
          </rPr>
          <t>adam channel:</t>
        </r>
        <r>
          <rPr>
            <sz val="8"/>
            <rFont val="Tahoma"/>
            <family val="2"/>
          </rPr>
          <t xml:space="preserve">
http://www.wrh.noaa.gov/eka/climate/getfile.php?pil=claeka</t>
        </r>
      </text>
    </comment>
  </commentList>
</comments>
</file>

<file path=xl/sharedStrings.xml><?xml version="1.0" encoding="utf-8"?>
<sst xmlns="http://schemas.openxmlformats.org/spreadsheetml/2006/main" count="391" uniqueCount="315">
  <si>
    <t>shower</t>
  </si>
  <si>
    <t>mL/L</t>
  </si>
  <si>
    <t>water lbs/gallon</t>
  </si>
  <si>
    <t>liters/gallon</t>
  </si>
  <si>
    <t>calories/btu</t>
  </si>
  <si>
    <t>calories/kwh</t>
  </si>
  <si>
    <t>Cost</t>
  </si>
  <si>
    <t>Pollution</t>
  </si>
  <si>
    <t>Solar Thermal</t>
  </si>
  <si>
    <t>Heat Pump</t>
  </si>
  <si>
    <t>?</t>
  </si>
  <si>
    <t>Energy</t>
  </si>
  <si>
    <t>Input for Federal Tax cuts etc.</t>
  </si>
  <si>
    <t>What models get a break? Any type?</t>
  </si>
  <si>
    <t>grid mix</t>
  </si>
  <si>
    <t>(using 2006 data for entire US )</t>
  </si>
  <si>
    <t>type</t>
  </si>
  <si>
    <t>mg Hg/kwh</t>
  </si>
  <si>
    <t>% of grid</t>
  </si>
  <si>
    <t>coal</t>
  </si>
  <si>
    <t>natural gas</t>
  </si>
  <si>
    <t>hydro</t>
  </si>
  <si>
    <t>nuclear</t>
  </si>
  <si>
    <t>petroleum</t>
  </si>
  <si>
    <t>other</t>
  </si>
  <si>
    <t>(guessed)</t>
  </si>
  <si>
    <t>mg/g</t>
  </si>
  <si>
    <t>g/kg</t>
  </si>
  <si>
    <t>w/kw</t>
  </si>
  <si>
    <t>days/year</t>
  </si>
  <si>
    <t>average mg Hg/kwh from data</t>
  </si>
  <si>
    <t>cents/USD</t>
  </si>
  <si>
    <t>calories to raise 1 mL/water 1 degree celcius</t>
  </si>
  <si>
    <t>btu to heat 1 lb/water 1 degree fahrenheit</t>
  </si>
  <si>
    <t>calories to raise 1L/water 1 degree celsius</t>
  </si>
  <si>
    <t xml:space="preserve">average groundwater temperature in US </t>
  </si>
  <si>
    <t>system information</t>
  </si>
  <si>
    <t>collector information</t>
  </si>
  <si>
    <t xml:space="preserve">2007029A </t>
  </si>
  <si>
    <t>SRCC Num</t>
  </si>
  <si>
    <t>Manufacturer</t>
  </si>
  <si>
    <t>TrendSetter Solar Products, Inc.</t>
  </si>
  <si>
    <t>TS-30-S</t>
  </si>
  <si>
    <t>Aluminum Nitride</t>
  </si>
  <si>
    <t>max solar thermal efficiency</t>
  </si>
  <si>
    <t>natural gas water heater efficiency</t>
  </si>
  <si>
    <t>Assumptions</t>
  </si>
  <si>
    <t>efficiency</t>
  </si>
  <si>
    <t>energy factor</t>
  </si>
  <si>
    <t>Conversions</t>
  </si>
  <si>
    <t>Glass Vacuum Tube</t>
  </si>
  <si>
    <t>Plate - Aluminum</t>
  </si>
  <si>
    <t>Insulation Side:</t>
  </si>
  <si>
    <t>Vacuum</t>
  </si>
  <si>
    <t>Insulation Back:</t>
  </si>
  <si>
    <t>Water</t>
  </si>
  <si>
    <t>Cover (Inner):</t>
  </si>
  <si>
    <t>Cover (Outer):</t>
  </si>
  <si>
    <t>Absorber Coating:</t>
  </si>
  <si>
    <t>Absorber Material:</t>
  </si>
  <si>
    <t>Tube - Copper</t>
  </si>
  <si>
    <t>Location</t>
  </si>
  <si>
    <t>yes</t>
  </si>
  <si>
    <t>no</t>
  </si>
  <si>
    <t>truth</t>
  </si>
  <si>
    <t>location</t>
  </si>
  <si>
    <t>avg wind speeds (mph)</t>
  </si>
  <si>
    <t>highest wind speeds (mph)</t>
  </si>
  <si>
    <t>clear skies (days/year)</t>
  </si>
  <si>
    <t>partly cloudy skies (days/year)</t>
  </si>
  <si>
    <t>cloudy skies (days/year)</t>
  </si>
  <si>
    <t>mean temperature (°F)</t>
  </si>
  <si>
    <t>typical high (°F)</t>
  </si>
  <si>
    <t>typical low (°F)</t>
  </si>
  <si>
    <t>record high (°F)</t>
  </si>
  <si>
    <t>record low (°F)</t>
  </si>
  <si>
    <t>gas</t>
  </si>
  <si>
    <t xml:space="preserve">Model # </t>
  </si>
  <si>
    <t>Net Weight (lbs.)</t>
  </si>
  <si>
    <t>Energy Factor</t>
  </si>
  <si>
    <t>Unit cost</t>
  </si>
  <si>
    <t>Maintenance cost</t>
  </si>
  <si>
    <t>cost</t>
  </si>
  <si>
    <t>heat exchanger?</t>
  </si>
  <si>
    <t>closed/open loop?</t>
  </si>
  <si>
    <t>passive/active?</t>
  </si>
  <si>
    <t>btu/$</t>
  </si>
  <si>
    <t>Brand Name Model Num</t>
  </si>
  <si>
    <t>Type</t>
  </si>
  <si>
    <t>Evacuated Tube</t>
  </si>
  <si>
    <t>Glazed Flat-Plate</t>
  </si>
  <si>
    <t>SunEarth, Inc.</t>
  </si>
  <si>
    <t xml:space="preserve">2009045C </t>
  </si>
  <si>
    <t>Dry Weight (lbs)</t>
  </si>
  <si>
    <t>Gross Area (ft^2)</t>
  </si>
  <si>
    <t>Net Aperature Area (ft^2)</t>
  </si>
  <si>
    <t>Life span (years)</t>
  </si>
  <si>
    <t>Peak Hour demand (Gallons/hour)</t>
  </si>
  <si>
    <t>$/day</t>
  </si>
  <si>
    <t>SEF</t>
  </si>
  <si>
    <t>SP-40</t>
  </si>
  <si>
    <t>closed</t>
  </si>
  <si>
    <t>water</t>
  </si>
  <si>
    <t>thermosiphoning</t>
  </si>
  <si>
    <t>other notes</t>
  </si>
  <si>
    <t>Heat Needed per day (btu/day)</t>
  </si>
  <si>
    <t>peak demand (btu/hour)</t>
  </si>
  <si>
    <t>$/therm</t>
  </si>
  <si>
    <t>btu/therm</t>
  </si>
  <si>
    <t>sink</t>
  </si>
  <si>
    <t>clothes washing</t>
  </si>
  <si>
    <t>dishwashing by hand</t>
  </si>
  <si>
    <t>dishwashing with dishwasher</t>
  </si>
  <si>
    <t>persons/house</t>
  </si>
  <si>
    <t>dishwasher?</t>
  </si>
  <si>
    <t>total (gallons/day)</t>
  </si>
  <si>
    <t>shower gpm</t>
  </si>
  <si>
    <t>sink gpm</t>
  </si>
  <si>
    <t>hand dishwashing constant (gallons/person)</t>
  </si>
  <si>
    <t>dishwasher constant (gallons/use)</t>
  </si>
  <si>
    <t>need some one to figure out CO2/kwh</t>
  </si>
  <si>
    <t>weighted value hg/kwh</t>
  </si>
  <si>
    <t>weighted average Hg</t>
  </si>
  <si>
    <t>weighted value CO2/kwh</t>
  </si>
  <si>
    <t>kwh/therm</t>
  </si>
  <si>
    <t>average mg Hg/kwh</t>
  </si>
  <si>
    <t>grams of HG/year</t>
  </si>
  <si>
    <t>BTU/kBTU</t>
  </si>
  <si>
    <t xml:space="preserve">Info for </t>
  </si>
  <si>
    <t>name</t>
  </si>
  <si>
    <t>GE hybrid water heater</t>
  </si>
  <si>
    <t>Installation cost</t>
  </si>
  <si>
    <t>Superstor Contender SSC-80SE</t>
  </si>
  <si>
    <t>anti-freeze</t>
  </si>
  <si>
    <t>Overall Width (inches)</t>
  </si>
  <si>
    <t>Overall Depth (inches)</t>
  </si>
  <si>
    <t>Overall Height (inches)</t>
  </si>
  <si>
    <t>Unit Capacity (gallons)</t>
  </si>
  <si>
    <t>First Hour Rate (FHR) (gallons)</t>
  </si>
  <si>
    <t>GEH50DNSRSA</t>
  </si>
  <si>
    <t>AP-30</t>
  </si>
  <si>
    <t>Apricus Inc.</t>
  </si>
  <si>
    <t>2007033A</t>
  </si>
  <si>
    <t>Tested with long axis of tubes oriented north-south. IAM perpendicular to the tubes is listed above. IAM parallel to the tubes = 1.0 - 0.09(S)</t>
  </si>
  <si>
    <t>AP-20</t>
  </si>
  <si>
    <t>2007033B</t>
  </si>
  <si>
    <t>active</t>
  </si>
  <si>
    <t>heat exchange method</t>
  </si>
  <si>
    <t>drainback tank, includes PV panel to power DC pump</t>
  </si>
  <si>
    <t>Trendsetter "Piggyback" System</t>
  </si>
  <si>
    <t>System Model name</t>
  </si>
  <si>
    <t>cost ($)</t>
  </si>
  <si>
    <t>η (%)</t>
  </si>
  <si>
    <t>Clear C (kBTU/day)</t>
  </si>
  <si>
    <t>mildly cloudy (kBTU/day)</t>
  </si>
  <si>
    <t>cloudy (kBTU/day)</t>
  </si>
  <si>
    <t>System Cost ($)</t>
  </si>
  <si>
    <t>Collector Cost ($)</t>
  </si>
  <si>
    <t>Installation Cost ($)</t>
  </si>
  <si>
    <t>Total Cost ($)</t>
  </si>
  <si>
    <t>electric</t>
  </si>
  <si>
    <t>average</t>
  </si>
  <si>
    <t>life cycle (years)</t>
  </si>
  <si>
    <t>high efficiency</t>
  </si>
  <si>
    <t>gas (high efficiency)</t>
  </si>
  <si>
    <t>gas (average)</t>
  </si>
  <si>
    <t>electric (average)</t>
  </si>
  <si>
    <t>electric (high efficiency)</t>
  </si>
  <si>
    <t>hotwater heater data</t>
  </si>
  <si>
    <t>hotwater heater</t>
  </si>
  <si>
    <t>laundry machine?</t>
  </si>
  <si>
    <t>take baths?</t>
  </si>
  <si>
    <t>laundry constant (gallons/load)</t>
  </si>
  <si>
    <t>bath constant (gallons)</t>
  </si>
  <si>
    <t>days/week</t>
  </si>
  <si>
    <t>Output</t>
  </si>
  <si>
    <t>payback time (years)</t>
  </si>
  <si>
    <t>baths</t>
  </si>
  <si>
    <t>cents/kwh</t>
  </si>
  <si>
    <t>showers longer than 5 minutes?</t>
  </si>
  <si>
    <t>how long?</t>
  </si>
  <si>
    <t>Groundwater/citywater temperature  (°F)</t>
  </si>
  <si>
    <t>Max Heat on hot water heater (°F)</t>
  </si>
  <si>
    <t>heater type</t>
  </si>
  <si>
    <t>household maximum temperature (°F)</t>
  </si>
  <si>
    <t>Water Data</t>
  </si>
  <si>
    <t>btu/kwh</t>
  </si>
  <si>
    <t>number of people</t>
  </si>
  <si>
    <t>purchase cost</t>
  </si>
  <si>
    <t>Energy Cost</t>
  </si>
  <si>
    <t>average lifecycle (years)</t>
  </si>
  <si>
    <t>gas or electric?</t>
  </si>
  <si>
    <t>gas/electric?</t>
  </si>
  <si>
    <t>on demand</t>
  </si>
  <si>
    <t>Other info</t>
  </si>
  <si>
    <t>Other Info</t>
  </si>
  <si>
    <t>Model</t>
  </si>
  <si>
    <t>Collector Type</t>
  </si>
  <si>
    <t>Collector Info</t>
  </si>
  <si>
    <t>System SRCC Num</t>
  </si>
  <si>
    <t>Collector SRCC Num</t>
  </si>
  <si>
    <t>kwh/year</t>
  </si>
  <si>
    <t>months/year</t>
  </si>
  <si>
    <t>therms/month</t>
  </si>
  <si>
    <t>therms/year</t>
  </si>
  <si>
    <t>kBTU/therm</t>
  </si>
  <si>
    <t>Collector Model</t>
  </si>
  <si>
    <t>annual energy cost w/ heatpump</t>
  </si>
  <si>
    <t>annual energy cost w/ current system</t>
  </si>
  <si>
    <t>annual energy cost w/ solar thermal</t>
  </si>
  <si>
    <t>Lifecycle analysis (years)</t>
  </si>
  <si>
    <t>lbs CO2/kwh</t>
  </si>
  <si>
    <t>weighted average lbs CO2/kwh</t>
  </si>
  <si>
    <t>average lbs CO2/kwh</t>
  </si>
  <si>
    <t>lbs CO2/year</t>
  </si>
  <si>
    <t>lifecycle</t>
  </si>
  <si>
    <t>Total Costs</t>
  </si>
  <si>
    <t>how much was your federal income tax for 2008</t>
  </si>
  <si>
    <t>tax credit</t>
  </si>
  <si>
    <t>The Bottom Line!</t>
  </si>
  <si>
    <t>Annual Costs</t>
  </si>
  <si>
    <t>Amount saved/ year</t>
  </si>
  <si>
    <t>are you buying a new hotwater heater?</t>
  </si>
  <si>
    <t>Hotwater heater cost ($)</t>
  </si>
  <si>
    <t>solar thermal (years)</t>
  </si>
  <si>
    <t>heatpump (years)</t>
  </si>
  <si>
    <t>solar thermal ($)</t>
  </si>
  <si>
    <t>heatpump ($)</t>
  </si>
  <si>
    <t>solar thermal [energy+solar+waterheater] ($)</t>
  </si>
  <si>
    <t>pounds/ton</t>
  </si>
  <si>
    <t>solar thermal (tons)</t>
  </si>
  <si>
    <t>heat pump (tons)</t>
  </si>
  <si>
    <t>Household Data Output</t>
  </si>
  <si>
    <t>Eureka, CA</t>
  </si>
  <si>
    <t>Redding, CA</t>
  </si>
  <si>
    <t>TMA-600-30</t>
  </si>
  <si>
    <t>1998001A</t>
  </si>
  <si>
    <t>Thermo Technologies Inc.</t>
  </si>
  <si>
    <t>EP-32</t>
  </si>
  <si>
    <t>2007032D</t>
  </si>
  <si>
    <t>2007011B</t>
  </si>
  <si>
    <t>Heat Transfer Products, Inc.</t>
  </si>
  <si>
    <t>coils</t>
  </si>
  <si>
    <t>Drainback tank, Pump needs power from wall</t>
  </si>
  <si>
    <t>HP50RH</t>
  </si>
  <si>
    <t>rheem heatpump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</si>
  <si>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</si>
  <si>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</si>
  <si>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</si>
  <si>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</si>
  <si>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</si>
  <si>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</si>
  <si>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</si>
  <si>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</si>
  <si>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</si>
  <si>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</si>
  <si>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</si>
  <si>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</si>
  <si>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total/year</t>
  </si>
  <si>
    <t>average/month</t>
  </si>
  <si>
    <t>winter average</t>
  </si>
  <si>
    <t>winter peak hours</t>
  </si>
  <si>
    <t>summer average</t>
  </si>
  <si>
    <t>summer peak hours</t>
  </si>
  <si>
    <t>hours of sunlight/year</t>
  </si>
  <si>
    <t>peak hours/year</t>
  </si>
  <si>
    <t>peak hours of sunlight/year</t>
  </si>
  <si>
    <t>ft^2/m^2</t>
  </si>
  <si>
    <t>optimal solar radiation (w/m^2)</t>
  </si>
  <si>
    <t>solar radiation during non-peak hours (w/m^2)</t>
  </si>
  <si>
    <t>solar radiation during partly cloudy days</t>
  </si>
  <si>
    <t>solar radiation during cloudy days</t>
  </si>
  <si>
    <t>solar radiation during non-peak hours on cloudy and partly cloudy days (w/m^2)</t>
  </si>
  <si>
    <t>Net aperture area (m^2)</t>
  </si>
  <si>
    <t>Please enter latitude</t>
  </si>
  <si>
    <t>Please enter number of clear sunny days/year</t>
  </si>
  <si>
    <t>Please enter number of partly cloudy days/year</t>
  </si>
  <si>
    <t>Please enter number of cloudy days/year</t>
  </si>
  <si>
    <t>percentage of clear days/year</t>
  </si>
  <si>
    <t>percentage of partly cloudy days/year</t>
  </si>
  <si>
    <t>percentage of cloudy days/year</t>
  </si>
  <si>
    <t>Regional Solar Output</t>
  </si>
  <si>
    <t>Regional Solar Input</t>
  </si>
  <si>
    <t>Household Data Input</t>
  </si>
  <si>
    <t>number of baths/week each person takes?</t>
  </si>
  <si>
    <t>number of loads/week each person does?</t>
  </si>
  <si>
    <t>solar thermal (grams)</t>
  </si>
  <si>
    <t>heat pump (grams)</t>
  </si>
  <si>
    <t xml:space="preserve">Groundwater/citywater temperature  (°F) </t>
  </si>
  <si>
    <t>System Information</t>
  </si>
  <si>
    <t>average percentage of total  energy needs</t>
  </si>
  <si>
    <t>backup energy needed on cloudy days (kWh/year)</t>
  </si>
  <si>
    <t>backup needed on partially cloudy days (kWh/year)</t>
  </si>
  <si>
    <t>backup energy needed on sunny days (kWh/year)</t>
  </si>
  <si>
    <t>backup energy needed on cloudy days (therms/year)</t>
  </si>
  <si>
    <t>backup needed on partially cloudy days (therms/year)</t>
  </si>
  <si>
    <t>average energy/year (therms)</t>
  </si>
  <si>
    <t>average energy/year (kwh)</t>
  </si>
  <si>
    <t>Back up energy used in a year</t>
  </si>
  <si>
    <t>days backup will be needed</t>
  </si>
  <si>
    <t>days per year</t>
  </si>
  <si>
    <t>If your water heater is Electric (kwh/year)</t>
  </si>
  <si>
    <t>If your water heater is Gas (therms/year)</t>
  </si>
  <si>
    <t>family size</t>
  </si>
  <si>
    <t>solar thermal</t>
  </si>
  <si>
    <t>heat pump</t>
  </si>
  <si>
    <t>solar thermal conserving water use</t>
  </si>
  <si>
    <t>heat pump conserving water use</t>
  </si>
  <si>
    <t>heat pump moderate water use</t>
  </si>
  <si>
    <t>solar thermal moderate water use</t>
  </si>
  <si>
    <t>Heat Pump Dollars Saved Per Year</t>
  </si>
  <si>
    <t>Solar Thermal Sollars Saved Per Year</t>
  </si>
  <si>
    <t>Solar Thermal Buy Back Time</t>
  </si>
  <si>
    <t>Heat Pump Buy Back Time</t>
  </si>
  <si>
    <t>People in Household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</si>
</sst>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0000"/>
  </numFmts>
  <fonts count="33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9.25"/>
      <name val="Arial"/>
      <family val="0"/>
    </font>
    <font>
      <sz val="21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 style="double">
        <color indexed="63"/>
      </right>
      <top style="medium"/>
      <bottom style="double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double">
        <color indexed="63"/>
      </left>
      <right style="medium"/>
      <top style="medium"/>
      <bottom style="double">
        <color indexed="63"/>
      </bottom>
    </border>
    <border>
      <left style="double">
        <color indexed="63"/>
      </left>
      <right style="medium"/>
      <top style="double">
        <color indexed="63"/>
      </top>
      <bottom style="double"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medium"/>
      <top style="thin">
        <color indexed="63"/>
      </top>
      <bottom/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/>
      <right style="medium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20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7" borderId="1" applyNumberFormat="0" applyAlignment="0" applyProtection="0"/>
    <xf numFmtId="0" fontId="21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38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21" applyFont="1" applyFill="1" applyBorder="1" applyAlignment="1">
      <alignment/>
    </xf>
    <xf numFmtId="0" fontId="6" fillId="0" borderId="0" xfId="53" applyFont="1" applyFill="1" applyBorder="1" applyAlignment="1">
      <alignment/>
    </xf>
    <xf numFmtId="9" fontId="6" fillId="0" borderId="0" xfId="53" applyNumberFormat="1" applyFont="1" applyFill="1" applyBorder="1" applyAlignment="1">
      <alignment/>
    </xf>
    <xf numFmtId="0" fontId="5" fillId="0" borderId="0" xfId="57" applyFont="1" applyFill="1" applyBorder="1" applyAlignment="1">
      <alignment/>
    </xf>
    <xf numFmtId="9" fontId="6" fillId="0" borderId="0" xfId="21" applyNumberFormat="1" applyFont="1" applyFill="1" applyBorder="1" applyAlignment="1">
      <alignment/>
    </xf>
    <xf numFmtId="0" fontId="5" fillId="0" borderId="11" xfId="21" applyFont="1" applyFill="1" applyBorder="1" applyAlignment="1">
      <alignment/>
    </xf>
    <xf numFmtId="0" fontId="6" fillId="0" borderId="10" xfId="2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21" applyFont="1" applyFill="1" applyBorder="1" applyAlignment="1">
      <alignment/>
    </xf>
    <xf numFmtId="0" fontId="6" fillId="0" borderId="13" xfId="21" applyFont="1" applyFill="1" applyBorder="1" applyAlignment="1">
      <alignment/>
    </xf>
    <xf numFmtId="0" fontId="5" fillId="0" borderId="14" xfId="57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21" applyFont="1" applyFill="1" applyBorder="1" applyAlignment="1">
      <alignment/>
    </xf>
    <xf numFmtId="0" fontId="5" fillId="0" borderId="16" xfId="57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11" fillId="0" borderId="0" xfId="46" applyFill="1" applyBorder="1" applyAlignment="1">
      <alignment/>
    </xf>
    <xf numFmtId="9" fontId="11" fillId="0" borderId="0" xfId="46" applyNumberFormat="1" applyFill="1" applyBorder="1" applyAlignment="1">
      <alignment/>
    </xf>
    <xf numFmtId="0" fontId="11" fillId="0" borderId="0" xfId="46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21" borderId="18" xfId="4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0" fontId="5" fillId="21" borderId="2" xfId="41" applyFont="1" applyBorder="1" applyAlignment="1">
      <alignment horizontal="right"/>
    </xf>
    <xf numFmtId="0" fontId="2" fillId="20" borderId="19" xfId="57" applyBorder="1" applyAlignment="1">
      <alignment horizontal="right"/>
    </xf>
    <xf numFmtId="0" fontId="0" fillId="0" borderId="13" xfId="0" applyFont="1" applyBorder="1" applyAlignment="1">
      <alignment/>
    </xf>
    <xf numFmtId="165" fontId="2" fillId="20" borderId="8" xfId="57" applyNumberFormat="1" applyBorder="1" applyAlignment="1">
      <alignment/>
    </xf>
    <xf numFmtId="0" fontId="2" fillId="20" borderId="19" xfId="57" applyBorder="1" applyAlignment="1">
      <alignment/>
    </xf>
    <xf numFmtId="0" fontId="0" fillId="0" borderId="14" xfId="0" applyBorder="1" applyAlignment="1">
      <alignment/>
    </xf>
    <xf numFmtId="0" fontId="2" fillId="20" borderId="8" xfId="57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2" fontId="2" fillId="20" borderId="19" xfId="57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21" borderId="20" xfId="41" applyFont="1" applyBorder="1" applyAlignment="1">
      <alignment/>
    </xf>
    <xf numFmtId="0" fontId="5" fillId="21" borderId="21" xfId="41" applyFont="1" applyBorder="1" applyAlignment="1">
      <alignment horizontal="right"/>
    </xf>
    <xf numFmtId="0" fontId="6" fillId="7" borderId="22" xfId="53" applyFont="1" applyBorder="1" applyAlignment="1">
      <alignment/>
    </xf>
    <xf numFmtId="1" fontId="6" fillId="7" borderId="22" xfId="53" applyNumberFormat="1" applyFont="1" applyBorder="1" applyAlignment="1">
      <alignment/>
    </xf>
    <xf numFmtId="167" fontId="5" fillId="21" borderId="21" xfId="41" applyNumberFormat="1" applyFont="1" applyBorder="1" applyAlignment="1">
      <alignment horizontal="right"/>
    </xf>
    <xf numFmtId="1" fontId="2" fillId="20" borderId="19" xfId="57" applyNumberFormat="1" applyBorder="1" applyAlignment="1">
      <alignment/>
    </xf>
    <xf numFmtId="0" fontId="0" fillId="0" borderId="15" xfId="0" applyFont="1" applyBorder="1" applyAlignment="1">
      <alignment/>
    </xf>
    <xf numFmtId="0" fontId="2" fillId="20" borderId="23" xfId="57" applyBorder="1" applyAlignment="1">
      <alignment/>
    </xf>
    <xf numFmtId="0" fontId="5" fillId="21" borderId="18" xfId="41" applyFont="1" applyBorder="1" applyAlignment="1">
      <alignment/>
    </xf>
    <xf numFmtId="165" fontId="2" fillId="20" borderId="19" xfId="57" applyNumberFormat="1" applyBorder="1" applyAlignment="1">
      <alignment/>
    </xf>
    <xf numFmtId="165" fontId="2" fillId="20" borderId="19" xfId="57" applyNumberFormat="1" applyBorder="1" applyAlignment="1">
      <alignment horizontal="right"/>
    </xf>
    <xf numFmtId="165" fontId="2" fillId="20" borderId="23" xfId="57" applyNumberFormat="1" applyBorder="1" applyAlignment="1">
      <alignment/>
    </xf>
    <xf numFmtId="0" fontId="2" fillId="20" borderId="24" xfId="57" applyBorder="1" applyAlignment="1">
      <alignment horizontal="right"/>
    </xf>
    <xf numFmtId="0" fontId="0" fillId="0" borderId="13" xfId="0" applyFill="1" applyBorder="1" applyAlignment="1">
      <alignment/>
    </xf>
    <xf numFmtId="0" fontId="2" fillId="20" borderId="23" xfId="57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5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3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7" borderId="25" xfId="53" applyFont="1" applyBorder="1" applyAlignment="1">
      <alignment/>
    </xf>
    <xf numFmtId="1" fontId="5" fillId="20" borderId="24" xfId="57" applyNumberFormat="1" applyFont="1" applyBorder="1" applyAlignment="1">
      <alignment/>
    </xf>
    <xf numFmtId="9" fontId="5" fillId="20" borderId="19" xfId="57" applyNumberFormat="1" applyFont="1" applyBorder="1" applyAlignment="1">
      <alignment/>
    </xf>
    <xf numFmtId="9" fontId="5" fillId="20" borderId="23" xfId="57" applyNumberFormat="1" applyFont="1" applyBorder="1" applyAlignment="1">
      <alignment/>
    </xf>
    <xf numFmtId="1" fontId="5" fillId="20" borderId="19" xfId="57" applyNumberFormat="1" applyFont="1" applyBorder="1" applyAlignment="1">
      <alignment/>
    </xf>
    <xf numFmtId="1" fontId="5" fillId="20" borderId="26" xfId="57" applyNumberFormat="1" applyFont="1" applyBorder="1" applyAlignment="1">
      <alignment/>
    </xf>
    <xf numFmtId="1" fontId="5" fillId="20" borderId="27" xfId="57" applyNumberFormat="1" applyFont="1" applyBorder="1" applyAlignment="1">
      <alignment/>
    </xf>
    <xf numFmtId="164" fontId="5" fillId="20" borderId="19" xfId="57" applyNumberFormat="1" applyFont="1" applyBorder="1" applyAlignment="1">
      <alignment/>
    </xf>
    <xf numFmtId="167" fontId="5" fillId="20" borderId="19" xfId="57" applyNumberFormat="1" applyFont="1" applyBorder="1" applyAlignment="1">
      <alignment/>
    </xf>
    <xf numFmtId="2" fontId="5" fillId="20" borderId="19" xfId="57" applyNumberFormat="1" applyFont="1" applyBorder="1" applyAlignment="1">
      <alignment/>
    </xf>
    <xf numFmtId="165" fontId="5" fillId="20" borderId="19" xfId="57" applyNumberFormat="1" applyFont="1" applyBorder="1" applyAlignment="1">
      <alignment/>
    </xf>
    <xf numFmtId="2" fontId="5" fillId="20" borderId="23" xfId="57" applyNumberFormat="1" applyFont="1" applyBorder="1" applyAlignment="1">
      <alignment/>
    </xf>
    <xf numFmtId="165" fontId="5" fillId="20" borderId="23" xfId="57" applyNumberFormat="1" applyFont="1" applyBorder="1" applyAlignment="1">
      <alignment/>
    </xf>
    <xf numFmtId="164" fontId="2" fillId="20" borderId="28" xfId="57" applyNumberFormat="1" applyBorder="1" applyAlignment="1">
      <alignment/>
    </xf>
    <xf numFmtId="0" fontId="0" fillId="2" borderId="11" xfId="15" applyBorder="1" applyAlignment="1">
      <alignment/>
    </xf>
    <xf numFmtId="0" fontId="0" fillId="2" borderId="13" xfId="15" applyBorder="1" applyAlignment="1">
      <alignment/>
    </xf>
    <xf numFmtId="0" fontId="0" fillId="2" borderId="15" xfId="15" applyBorder="1" applyAlignment="1">
      <alignment/>
    </xf>
    <xf numFmtId="0" fontId="0" fillId="2" borderId="13" xfId="15" applyBorder="1" applyAlignment="1">
      <alignment horizontal="left"/>
    </xf>
    <xf numFmtId="0" fontId="0" fillId="9" borderId="11" xfId="22" applyBorder="1" applyAlignment="1">
      <alignment/>
    </xf>
    <xf numFmtId="0" fontId="0" fillId="9" borderId="13" xfId="22" applyBorder="1" applyAlignment="1">
      <alignment horizontal="left"/>
    </xf>
    <xf numFmtId="0" fontId="0" fillId="9" borderId="13" xfId="22" applyBorder="1" applyAlignment="1">
      <alignment/>
    </xf>
    <xf numFmtId="0" fontId="0" fillId="9" borderId="15" xfId="22" applyBorder="1" applyAlignment="1">
      <alignment/>
    </xf>
    <xf numFmtId="0" fontId="0" fillId="9" borderId="1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/>
    </xf>
    <xf numFmtId="0" fontId="0" fillId="9" borderId="0" xfId="22" applyBorder="1" applyAlignment="1">
      <alignment horizontal="left"/>
    </xf>
    <xf numFmtId="0" fontId="0" fillId="9" borderId="16" xfId="22" applyBorder="1" applyAlignment="1">
      <alignment/>
    </xf>
    <xf numFmtId="0" fontId="0" fillId="9" borderId="14" xfId="22" applyBorder="1" applyAlignment="1">
      <alignment/>
    </xf>
    <xf numFmtId="0" fontId="3" fillId="9" borderId="13" xfId="22" applyFont="1" applyBorder="1" applyAlignment="1">
      <alignment/>
    </xf>
    <xf numFmtId="0" fontId="3" fillId="9" borderId="0" xfId="22" applyFont="1" applyBorder="1" applyAlignment="1">
      <alignment horizontal="left"/>
    </xf>
    <xf numFmtId="0" fontId="0" fillId="9" borderId="14" xfId="22" applyBorder="1" applyAlignment="1">
      <alignment horizontal="right"/>
    </xf>
    <xf numFmtId="0" fontId="0" fillId="10" borderId="11" xfId="23" applyBorder="1" applyAlignment="1">
      <alignment/>
    </xf>
    <xf numFmtId="0" fontId="0" fillId="10" borderId="13" xfId="23" applyBorder="1" applyAlignment="1">
      <alignment/>
    </xf>
    <xf numFmtId="0" fontId="0" fillId="10" borderId="15" xfId="23" applyBorder="1" applyAlignment="1">
      <alignment/>
    </xf>
    <xf numFmtId="0" fontId="0" fillId="10" borderId="0" xfId="23" applyBorder="1" applyAlignment="1">
      <alignment/>
    </xf>
    <xf numFmtId="0" fontId="0" fillId="10" borderId="10" xfId="23" applyBorder="1" applyAlignment="1">
      <alignment/>
    </xf>
    <xf numFmtId="0" fontId="0" fillId="10" borderId="0" xfId="23" applyBorder="1" applyAlignment="1">
      <alignment/>
    </xf>
    <xf numFmtId="0" fontId="0" fillId="10" borderId="16" xfId="23" applyBorder="1" applyAlignment="1">
      <alignment/>
    </xf>
    <xf numFmtId="0" fontId="0" fillId="10" borderId="12" xfId="23" applyBorder="1" applyAlignment="1">
      <alignment/>
    </xf>
    <xf numFmtId="0" fontId="0" fillId="5" borderId="11" xfId="24" applyBorder="1" applyAlignment="1">
      <alignment/>
    </xf>
    <xf numFmtId="0" fontId="0" fillId="5" borderId="13" xfId="24" applyBorder="1" applyAlignment="1">
      <alignment/>
    </xf>
    <xf numFmtId="0" fontId="0" fillId="5" borderId="15" xfId="24" applyBorder="1" applyAlignment="1">
      <alignment/>
    </xf>
    <xf numFmtId="1" fontId="0" fillId="5" borderId="14" xfId="24" applyNumberFormat="1" applyBorder="1" applyAlignment="1">
      <alignment/>
    </xf>
    <xf numFmtId="0" fontId="0" fillId="5" borderId="14" xfId="24" applyBorder="1" applyAlignment="1">
      <alignment/>
    </xf>
    <xf numFmtId="165" fontId="0" fillId="5" borderId="14" xfId="24" applyNumberFormat="1" applyBorder="1" applyAlignment="1">
      <alignment/>
    </xf>
    <xf numFmtId="0" fontId="0" fillId="8" borderId="11" xfId="25" applyBorder="1" applyAlignment="1">
      <alignment/>
    </xf>
    <xf numFmtId="0" fontId="0" fillId="8" borderId="12" xfId="25" applyBorder="1" applyAlignment="1">
      <alignment/>
    </xf>
    <xf numFmtId="0" fontId="0" fillId="8" borderId="13" xfId="25" applyBorder="1" applyAlignment="1">
      <alignment/>
    </xf>
    <xf numFmtId="0" fontId="0" fillId="8" borderId="14" xfId="25" applyBorder="1" applyAlignment="1">
      <alignment/>
    </xf>
    <xf numFmtId="0" fontId="0" fillId="8" borderId="15" xfId="25" applyBorder="1" applyAlignment="1">
      <alignment/>
    </xf>
    <xf numFmtId="0" fontId="0" fillId="8" borderId="17" xfId="25" applyBorder="1" applyAlignment="1">
      <alignment/>
    </xf>
    <xf numFmtId="9" fontId="0" fillId="8" borderId="14" xfId="25" applyNumberFormat="1" applyBorder="1" applyAlignment="1">
      <alignment/>
    </xf>
    <xf numFmtId="1" fontId="0" fillId="8" borderId="14" xfId="25" applyNumberFormat="1" applyBorder="1" applyAlignment="1">
      <alignment/>
    </xf>
    <xf numFmtId="0" fontId="0" fillId="2" borderId="14" xfId="15" applyBorder="1" applyAlignment="1">
      <alignment/>
    </xf>
    <xf numFmtId="1" fontId="4" fillId="16" borderId="14" xfId="33" applyNumberFormat="1" applyBorder="1" applyAlignment="1">
      <alignment/>
    </xf>
    <xf numFmtId="0" fontId="4" fillId="16" borderId="14" xfId="33" applyBorder="1" applyAlignment="1">
      <alignment/>
    </xf>
    <xf numFmtId="1" fontId="4" fillId="16" borderId="29" xfId="33" applyNumberFormat="1" applyBorder="1" applyAlignment="1">
      <alignment/>
    </xf>
    <xf numFmtId="1" fontId="4" fillId="16" borderId="12" xfId="33" applyNumberFormat="1" applyBorder="1" applyAlignment="1">
      <alignment/>
    </xf>
    <xf numFmtId="0" fontId="3" fillId="10" borderId="10" xfId="23" applyFont="1" applyBorder="1" applyAlignment="1">
      <alignment/>
    </xf>
    <xf numFmtId="0" fontId="3" fillId="10" borderId="13" xfId="23" applyFont="1" applyBorder="1" applyAlignment="1">
      <alignment/>
    </xf>
    <xf numFmtId="0" fontId="3" fillId="5" borderId="13" xfId="24" applyFont="1" applyBorder="1" applyAlignment="1">
      <alignment/>
    </xf>
    <xf numFmtId="0" fontId="6" fillId="16" borderId="11" xfId="33" applyFont="1" applyBorder="1" applyAlignment="1">
      <alignment/>
    </xf>
    <xf numFmtId="0" fontId="6" fillId="16" borderId="13" xfId="33" applyFont="1" applyBorder="1" applyAlignment="1">
      <alignment/>
    </xf>
    <xf numFmtId="0" fontId="6" fillId="16" borderId="15" xfId="33" applyFont="1" applyBorder="1" applyAlignment="1">
      <alignment/>
    </xf>
    <xf numFmtId="0" fontId="5" fillId="16" borderId="13" xfId="33" applyFont="1" applyBorder="1" applyAlignment="1">
      <alignment/>
    </xf>
    <xf numFmtId="0" fontId="5" fillId="16" borderId="13" xfId="33" applyFont="1" applyBorder="1" applyAlignment="1">
      <alignment horizontal="left"/>
    </xf>
    <xf numFmtId="0" fontId="5" fillId="16" borderId="11" xfId="33" applyFont="1" applyBorder="1" applyAlignment="1">
      <alignment/>
    </xf>
    <xf numFmtId="0" fontId="0" fillId="8" borderId="13" xfId="25" applyFont="1" applyBorder="1" applyAlignment="1">
      <alignment/>
    </xf>
    <xf numFmtId="0" fontId="3" fillId="9" borderId="0" xfId="22" applyFont="1" applyFill="1" applyBorder="1" applyAlignment="1">
      <alignment/>
    </xf>
    <xf numFmtId="0" fontId="0" fillId="9" borderId="0" xfId="22" applyFont="1" applyFill="1" applyBorder="1" applyAlignment="1">
      <alignment/>
    </xf>
    <xf numFmtId="0" fontId="0" fillId="0" borderId="0" xfId="22" applyFill="1" applyBorder="1" applyAlignment="1">
      <alignment/>
    </xf>
    <xf numFmtId="0" fontId="2" fillId="20" borderId="30" xfId="57" applyBorder="1" applyAlignment="1">
      <alignment horizontal="right"/>
    </xf>
    <xf numFmtId="0" fontId="0" fillId="9" borderId="31" xfId="22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6" fillId="23" borderId="33" xfId="0" applyFont="1" applyFill="1" applyBorder="1" applyAlignment="1">
      <alignment/>
    </xf>
    <xf numFmtId="0" fontId="0" fillId="23" borderId="34" xfId="56" applyFont="1" applyFill="1" applyBorder="1" applyAlignment="1">
      <alignment horizontal="center"/>
    </xf>
    <xf numFmtId="0" fontId="0" fillId="2" borderId="35" xfId="15" applyBorder="1" applyAlignment="1">
      <alignment/>
    </xf>
    <xf numFmtId="0" fontId="6" fillId="7" borderId="36" xfId="53" applyFont="1" applyBorder="1" applyAlignment="1">
      <alignment/>
    </xf>
    <xf numFmtId="0" fontId="0" fillId="23" borderId="37" xfId="56" applyFont="1" applyBorder="1" applyAlignment="1">
      <alignment horizontal="center"/>
    </xf>
    <xf numFmtId="0" fontId="0" fillId="23" borderId="38" xfId="56" applyFont="1" applyBorder="1" applyAlignment="1">
      <alignment horizontal="center"/>
    </xf>
    <xf numFmtId="0" fontId="2" fillId="20" borderId="8" xfId="57" applyBorder="1" applyAlignment="1">
      <alignment horizontal="center" vertical="top" wrapText="1"/>
    </xf>
    <xf numFmtId="0" fontId="2" fillId="20" borderId="28" xfId="57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5" fillId="20" borderId="39" xfId="57" applyNumberFormat="1" applyFont="1" applyBorder="1" applyAlignment="1">
      <alignment/>
    </xf>
    <xf numFmtId="0" fontId="0" fillId="9" borderId="40" xfId="15" applyFill="1" applyBorder="1" applyAlignment="1">
      <alignment/>
    </xf>
    <xf numFmtId="0" fontId="0" fillId="9" borderId="41" xfId="22" applyBorder="1" applyAlignment="1">
      <alignment/>
    </xf>
    <xf numFmtId="0" fontId="3" fillId="2" borderId="42" xfId="22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2" xfId="22" applyFont="1" applyFill="1" applyBorder="1" applyAlignment="1">
      <alignment/>
    </xf>
    <xf numFmtId="0" fontId="0" fillId="2" borderId="42" xfId="22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0" fillId="2" borderId="33" xfId="22" applyFont="1" applyFill="1" applyBorder="1" applyAlignment="1">
      <alignment/>
    </xf>
    <xf numFmtId="0" fontId="3" fillId="2" borderId="43" xfId="22" applyFont="1" applyFill="1" applyBorder="1" applyAlignment="1">
      <alignment/>
    </xf>
    <xf numFmtId="0" fontId="0" fillId="2" borderId="44" xfId="0" applyFill="1" applyBorder="1" applyAlignment="1">
      <alignment/>
    </xf>
    <xf numFmtId="0" fontId="0" fillId="9" borderId="40" xfId="22" applyBorder="1" applyAlignment="1">
      <alignment horizontal="left"/>
    </xf>
    <xf numFmtId="0" fontId="5" fillId="21" borderId="45" xfId="41" applyFont="1" applyBorder="1" applyAlignment="1">
      <alignment horizontal="right"/>
    </xf>
    <xf numFmtId="167" fontId="5" fillId="21" borderId="20" xfId="41" applyNumberFormat="1" applyFont="1" applyBorder="1" applyAlignment="1">
      <alignment horizontal="right"/>
    </xf>
    <xf numFmtId="1" fontId="2" fillId="20" borderId="46" xfId="57" applyNumberFormat="1" applyFill="1" applyBorder="1" applyAlignment="1">
      <alignment/>
    </xf>
    <xf numFmtId="10" fontId="2" fillId="20" borderId="46" xfId="57" applyNumberFormat="1" applyFill="1" applyBorder="1" applyAlignment="1">
      <alignment/>
    </xf>
    <xf numFmtId="0" fontId="0" fillId="20" borderId="47" xfId="0" applyFill="1" applyBorder="1" applyAlignment="1">
      <alignment/>
    </xf>
    <xf numFmtId="1" fontId="3" fillId="20" borderId="48" xfId="0" applyNumberFormat="1" applyFont="1" applyFill="1" applyBorder="1" applyAlignment="1">
      <alignment/>
    </xf>
    <xf numFmtId="1" fontId="0" fillId="20" borderId="48" xfId="0" applyNumberFormat="1" applyFill="1" applyBorder="1" applyAlignment="1">
      <alignment/>
    </xf>
    <xf numFmtId="0" fontId="0" fillId="20" borderId="48" xfId="0" applyFill="1" applyBorder="1" applyAlignment="1">
      <alignment/>
    </xf>
    <xf numFmtId="1" fontId="0" fillId="20" borderId="48" xfId="0" applyNumberFormat="1" applyFill="1" applyBorder="1" applyAlignment="1">
      <alignment/>
    </xf>
    <xf numFmtId="1" fontId="0" fillId="20" borderId="48" xfId="0" applyNumberFormat="1" applyFill="1" applyBorder="1" applyAlignment="1" applyProtection="1">
      <alignment/>
      <protection/>
    </xf>
    <xf numFmtId="165" fontId="2" fillId="0" borderId="0" xfId="57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15 year life cycle cost Solar Thermal Vs. Heat Pump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825"/>
          <c:w val="0.732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solar thermal moderate water use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Sheet2!$B$2:$B$11</c:f>
              <c:numCache>
                <c:ptCount val="10"/>
                <c:pt idx="0">
                  <c:v>5369</c:v>
                </c:pt>
                <c:pt idx="1">
                  <c:v>6044</c:v>
                </c:pt>
                <c:pt idx="2">
                  <c:v>6895</c:v>
                </c:pt>
                <c:pt idx="3">
                  <c:v>8069</c:v>
                </c:pt>
                <c:pt idx="4">
                  <c:v>9243</c:v>
                </c:pt>
                <c:pt idx="5">
                  <c:v>10418</c:v>
                </c:pt>
                <c:pt idx="6">
                  <c:v>11592</c:v>
                </c:pt>
                <c:pt idx="7">
                  <c:v>12766</c:v>
                </c:pt>
                <c:pt idx="8">
                  <c:v>13934</c:v>
                </c:pt>
                <c:pt idx="9">
                  <c:v>15114</c:v>
                </c:pt>
              </c:numCache>
            </c:numRef>
          </c:val>
        </c:ser>
        <c:ser>
          <c:idx val="2"/>
          <c:order val="1"/>
          <c:tx>
            <c:strRef>
              <c:f>Sheet2!$C$1</c:f>
              <c:strCache>
                <c:ptCount val="1"/>
                <c:pt idx="0">
                  <c:v>heat pump moderate water use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Sheet2!$C$2:$C$11</c:f>
              <c:numCache>
                <c:ptCount val="10"/>
                <c:pt idx="0">
                  <c:v>4148</c:v>
                </c:pt>
                <c:pt idx="1">
                  <c:v>5560</c:v>
                </c:pt>
                <c:pt idx="2">
                  <c:v>6974</c:v>
                </c:pt>
                <c:pt idx="3">
                  <c:v>8695</c:v>
                </c:pt>
                <c:pt idx="4">
                  <c:v>10926</c:v>
                </c:pt>
                <c:pt idx="5">
                  <c:v>13420</c:v>
                </c:pt>
                <c:pt idx="6">
                  <c:v>16174</c:v>
                </c:pt>
                <c:pt idx="7">
                  <c:v>19182</c:v>
                </c:pt>
                <c:pt idx="8">
                  <c:v>22441</c:v>
                </c:pt>
                <c:pt idx="9">
                  <c:v>25946</c:v>
                </c:pt>
              </c:numCache>
            </c:numRef>
          </c:val>
        </c:ser>
        <c:ser>
          <c:idx val="3"/>
          <c:order val="2"/>
          <c:tx>
            <c:strRef>
              <c:f>Sheet2!$D$1</c:f>
              <c:strCache>
                <c:ptCount val="1"/>
                <c:pt idx="0">
                  <c:v>solar thermal conserving water use</c:v>
                </c:pt>
              </c:strCache>
            </c:strRef>
          </c:tx>
          <c:spPr>
            <a:solidFill>
              <a:srgbClr val="FFFF99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Sheet2!$D$2:$D$11</c:f>
              <c:numCache>
                <c:ptCount val="10"/>
                <c:pt idx="0">
                  <c:v>5210</c:v>
                </c:pt>
                <c:pt idx="1">
                  <c:v>5210</c:v>
                </c:pt>
                <c:pt idx="2">
                  <c:v>5514</c:v>
                </c:pt>
                <c:pt idx="3">
                  <c:v>5889</c:v>
                </c:pt>
                <c:pt idx="4">
                  <c:v>6262</c:v>
                </c:pt>
                <c:pt idx="5">
                  <c:v>6752</c:v>
                </c:pt>
                <c:pt idx="6">
                  <c:v>7403</c:v>
                </c:pt>
                <c:pt idx="7">
                  <c:v>8054</c:v>
                </c:pt>
                <c:pt idx="8">
                  <c:v>8705</c:v>
                </c:pt>
                <c:pt idx="9">
                  <c:v>9357</c:v>
                </c:pt>
              </c:numCache>
            </c:numRef>
          </c:val>
        </c:ser>
        <c:ser>
          <c:idx val="4"/>
          <c:order val="3"/>
          <c:tx>
            <c:strRef>
              <c:f>Sheet2!$E$1</c:f>
              <c:strCache>
                <c:ptCount val="1"/>
                <c:pt idx="0">
                  <c:v>heat pump conserving water use</c:v>
                </c:pt>
              </c:strCache>
            </c:strRef>
          </c:tx>
          <c:spPr>
            <a:solidFill>
              <a:srgbClr val="CCFFCC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Sheet2!$E$2:$E$11</c:f>
              <c:numCache>
                <c:ptCount val="10"/>
                <c:pt idx="0">
                  <c:v>2883</c:v>
                </c:pt>
                <c:pt idx="1">
                  <c:v>3667</c:v>
                </c:pt>
                <c:pt idx="2">
                  <c:v>4450</c:v>
                </c:pt>
                <c:pt idx="3">
                  <c:v>5234</c:v>
                </c:pt>
                <c:pt idx="4">
                  <c:v>6018</c:v>
                </c:pt>
                <c:pt idx="5">
                  <c:v>6802</c:v>
                </c:pt>
                <c:pt idx="6">
                  <c:v>7586</c:v>
                </c:pt>
                <c:pt idx="7">
                  <c:v>8369</c:v>
                </c:pt>
                <c:pt idx="8">
                  <c:v>9153</c:v>
                </c:pt>
                <c:pt idx="9">
                  <c:v>9937</c:v>
                </c:pt>
              </c:numCache>
            </c:numRef>
          </c:val>
        </c:ser>
        <c:overlap val="-20"/>
        <c:axId val="9600298"/>
        <c:axId val="19293819"/>
      </c:barChart>
      <c:catAx>
        <c:axId val="96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60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4825"/>
          <c:w val="0.204"/>
          <c:h val="0.313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60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Buy Back Vs. savings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Sheet4!$B$1</c:f>
              <c:strCache>
                <c:ptCount val="1"/>
                <c:pt idx="0">
                  <c:v>Solar Thermal Sollars Saved Per Year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Sheet4!$B$2:$B$11</c:f>
              <c:numCache>
                <c:ptCount val="10"/>
                <c:pt idx="0">
                  <c:v>346</c:v>
                </c:pt>
                <c:pt idx="1">
                  <c:v>547</c:v>
                </c:pt>
                <c:pt idx="2">
                  <c:v>736</c:v>
                </c:pt>
                <c:pt idx="3">
                  <c:v>904</c:v>
                </c:pt>
                <c:pt idx="4">
                  <c:v>1072</c:v>
                </c:pt>
                <c:pt idx="5">
                  <c:v>1240</c:v>
                </c:pt>
                <c:pt idx="6">
                  <c:v>1407</c:v>
                </c:pt>
                <c:pt idx="7">
                  <c:v>1575</c:v>
                </c:pt>
                <c:pt idx="8">
                  <c:v>1743</c:v>
                </c:pt>
                <c:pt idx="9">
                  <c:v>1910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Sheet4!$C$1</c:f>
              <c:strCache>
                <c:ptCount val="1"/>
                <c:pt idx="0">
                  <c:v>Heat Pump Dollars Saved Per Year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Sheet4!$C$2:$C$11</c:f>
              <c:numCache>
                <c:ptCount val="10"/>
                <c:pt idx="0">
                  <c:v>220</c:v>
                </c:pt>
                <c:pt idx="1">
                  <c:v>372</c:v>
                </c:pt>
                <c:pt idx="2">
                  <c:v>524</c:v>
                </c:pt>
                <c:pt idx="3">
                  <c:v>655</c:v>
                </c:pt>
                <c:pt idx="4">
                  <c:v>752</c:v>
                </c:pt>
                <c:pt idx="5">
                  <c:v>832</c:v>
                </c:pt>
                <c:pt idx="6">
                  <c:v>894</c:v>
                </c:pt>
                <c:pt idx="7">
                  <c:v>940</c:v>
                </c:pt>
                <c:pt idx="8">
                  <c:v>969</c:v>
                </c:pt>
                <c:pt idx="9">
                  <c:v>981</c:v>
                </c:pt>
              </c:numCache>
            </c:numRef>
          </c:yVal>
          <c:smooth val="0"/>
        </c:ser>
        <c:axId val="39426644"/>
        <c:axId val="19295477"/>
      </c:scatterChart>
      <c:scatterChart>
        <c:scatterStyle val="lineMarker"/>
        <c:varyColors val="0"/>
        <c:ser>
          <c:idx val="3"/>
          <c:order val="2"/>
          <c:tx>
            <c:strRef>
              <c:f>Sheet4!$D$1</c:f>
              <c:strCache>
                <c:ptCount val="1"/>
                <c:pt idx="0">
                  <c:v>Solar Thermal Buy Back Time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Sheet4!$D$2:$D$11</c:f>
              <c:numCache>
                <c:ptCount val="10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Sheet4!$E$1</c:f>
              <c:strCache>
                <c:ptCount val="1"/>
                <c:pt idx="0">
                  <c:v>Heat Pump Buy Back Time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Sheet4!$E$2:$E$11</c:f>
              <c:numCache>
                <c:ptCount val="10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</c:ser>
        <c:axId val="39441566"/>
        <c:axId val="19429775"/>
      </c:scatterChart>
      <c:valAx>
        <c:axId val="394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5477"/>
        <c:crosses val="autoZero"/>
        <c:crossBetween val="midCat"/>
        <c:dispUnits/>
      </c:valAx>
      <c:valAx>
        <c:axId val="1929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saved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crossBetween val="midCat"/>
        <c:dispUnits/>
      </c:valAx>
      <c:valAx>
        <c:axId val="39441566"/>
        <c:scaling>
          <c:orientation val="minMax"/>
        </c:scaling>
        <c:axPos val="b"/>
        <c:delete val="1"/>
        <c:majorTickMark val="in"/>
        <c:minorTickMark val="none"/>
        <c:tickLblPos val="nextTo"/>
        <c:crossAx val="19429775"/>
        <c:crosses val="max"/>
        <c:crossBetween val="midCat"/>
        <c:dispUnits/>
      </c:valAx>
      <c:valAx>
        <c:axId val="19429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buy back period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415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CO2 in 15 year lifecyle</a:t>
            </a:r>
          </a:p>
        </c:rich>
      </c:tx>
      <c:layout>
        <c:manualLayout>
          <c:xMode val="factor"/>
          <c:yMode val="factor"/>
          <c:x val="-0.004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2"/>
          <c:w val="0.804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solar 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0.24</c:v>
                </c:pt>
                <c:pt idx="4">
                  <c:v>0.38</c:v>
                </c:pt>
                <c:pt idx="5">
                  <c:v>0.55</c:v>
                </c:pt>
                <c:pt idx="6">
                  <c:v>0.79</c:v>
                </c:pt>
                <c:pt idx="7">
                  <c:v>1.02</c:v>
                </c:pt>
                <c:pt idx="8">
                  <c:v>1.26</c:v>
                </c:pt>
                <c:pt idx="9">
                  <c:v>1.49</c:v>
                </c:pt>
              </c:numCache>
            </c:numRef>
          </c:val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heat pump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Sheet3!$C$2:$C$11</c:f>
              <c:numCache>
                <c:ptCount val="10"/>
                <c:pt idx="0">
                  <c:v>0.28</c:v>
                </c:pt>
                <c:pt idx="1">
                  <c:v>0.56</c:v>
                </c:pt>
                <c:pt idx="2">
                  <c:v>0.84</c:v>
                </c:pt>
                <c:pt idx="3">
                  <c:v>1.13</c:v>
                </c:pt>
                <c:pt idx="4">
                  <c:v>1.41</c:v>
                </c:pt>
                <c:pt idx="5">
                  <c:v>1.69</c:v>
                </c:pt>
                <c:pt idx="6">
                  <c:v>1.97</c:v>
                </c:pt>
                <c:pt idx="7">
                  <c:v>2.25</c:v>
                </c:pt>
                <c:pt idx="8">
                  <c:v>2.53</c:v>
                </c:pt>
                <c:pt idx="9">
                  <c:v>2.81</c:v>
                </c:pt>
              </c:numCache>
            </c:numRef>
          </c:val>
        </c:ser>
        <c:axId val="40650248"/>
        <c:axId val="30307913"/>
      </c:barChart>
      <c:catAx>
        <c:axId val="4065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People in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Tons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5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77875"/>
          <c:w val="0.1255"/>
          <c:h val="0.120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0.06775</cdr:y>
    </cdr:from>
    <cdr:to>
      <cdr:x>1</cdr:x>
      <cdr:y>0.99975</cdr:y>
    </cdr:to>
    <cdr:graphicFrame>
      <cdr:nvGraphicFramePr>
        <cdr:cNvPr id="1" name="Chart 1"/>
        <cdr:cNvGraphicFramePr/>
      </cdr:nvGraphicFramePr>
      <cdr:xfrm>
        <a:off x="0" y="400050"/>
        <a:ext cx="8677275" cy="5534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nergy\sunlight%20hou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A4">
            <v>0</v>
          </cell>
          <cell r="B4">
            <v>12.17</v>
          </cell>
          <cell r="C4">
            <v>12.17</v>
          </cell>
          <cell r="D4">
            <v>12.17</v>
          </cell>
          <cell r="E4">
            <v>12.17</v>
          </cell>
          <cell r="F4">
            <v>12.17</v>
          </cell>
          <cell r="G4">
            <v>12.17</v>
          </cell>
          <cell r="H4">
            <v>12.17</v>
          </cell>
          <cell r="I4">
            <v>12.17</v>
          </cell>
          <cell r="J4">
            <v>12.17</v>
          </cell>
          <cell r="K4">
            <v>12.17</v>
          </cell>
          <cell r="L4">
            <v>12.17</v>
          </cell>
          <cell r="M4">
            <v>12.17</v>
          </cell>
          <cell r="N4">
            <v>4442.049999999999</v>
          </cell>
          <cell r="O4">
            <v>12.17</v>
          </cell>
          <cell r="P4">
            <v>12.17</v>
          </cell>
          <cell r="Q4">
            <v>8.17</v>
          </cell>
          <cell r="R4">
            <v>12.17</v>
          </cell>
          <cell r="S4">
            <v>8.17</v>
          </cell>
        </row>
        <row r="5">
          <cell r="A5">
            <v>1</v>
          </cell>
          <cell r="B5">
            <v>12.111</v>
          </cell>
          <cell r="C5">
            <v>12.135</v>
          </cell>
          <cell r="D5">
            <v>12.16</v>
          </cell>
          <cell r="E5">
            <v>12.188</v>
          </cell>
          <cell r="F5">
            <v>12.21</v>
          </cell>
          <cell r="G5">
            <v>12.222999999999999</v>
          </cell>
          <cell r="H5">
            <v>12.22</v>
          </cell>
          <cell r="I5">
            <v>12.2</v>
          </cell>
          <cell r="J5">
            <v>12.173</v>
          </cell>
          <cell r="K5">
            <v>12.145</v>
          </cell>
          <cell r="L5">
            <v>12.12</v>
          </cell>
          <cell r="M5">
            <v>12.106</v>
          </cell>
          <cell r="N5">
            <v>4440.612</v>
          </cell>
          <cell r="O5">
            <v>12.165916666666668</v>
          </cell>
          <cell r="P5">
            <v>12.117333333333333</v>
          </cell>
          <cell r="Q5">
            <v>8.117333333333333</v>
          </cell>
          <cell r="R5">
            <v>12.217666666666666</v>
          </cell>
          <cell r="S5">
            <v>8.217666666666666</v>
          </cell>
        </row>
        <row r="6">
          <cell r="A6">
            <v>2</v>
          </cell>
          <cell r="B6">
            <v>12.052000000000001</v>
          </cell>
          <cell r="C6">
            <v>12.1</v>
          </cell>
          <cell r="D6">
            <v>12.15</v>
          </cell>
          <cell r="E6">
            <v>12.206000000000001</v>
          </cell>
          <cell r="F6">
            <v>12.25</v>
          </cell>
          <cell r="G6">
            <v>12.276</v>
          </cell>
          <cell r="H6">
            <v>12.270000000000001</v>
          </cell>
          <cell r="I6">
            <v>12.229999999999999</v>
          </cell>
          <cell r="J6">
            <v>12.176</v>
          </cell>
          <cell r="K6">
            <v>12.12</v>
          </cell>
          <cell r="L6">
            <v>12.069999999999999</v>
          </cell>
          <cell r="M6">
            <v>12.042</v>
          </cell>
          <cell r="N6">
            <v>4439.174</v>
          </cell>
          <cell r="O6">
            <v>12.161833333333334</v>
          </cell>
          <cell r="P6">
            <v>12.064666666666668</v>
          </cell>
          <cell r="Q6">
            <v>8.064666666666668</v>
          </cell>
          <cell r="R6">
            <v>12.265333333333336</v>
          </cell>
          <cell r="S6">
            <v>8.265333333333336</v>
          </cell>
        </row>
        <row r="7">
          <cell r="A7">
            <v>3</v>
          </cell>
          <cell r="B7">
            <v>11.993000000000002</v>
          </cell>
          <cell r="C7">
            <v>12.065</v>
          </cell>
          <cell r="D7">
            <v>12.14</v>
          </cell>
          <cell r="E7">
            <v>12.224000000000002</v>
          </cell>
          <cell r="F7">
            <v>12.29</v>
          </cell>
          <cell r="G7">
            <v>12.329</v>
          </cell>
          <cell r="H7">
            <v>12.320000000000002</v>
          </cell>
          <cell r="I7">
            <v>12.259999999999998</v>
          </cell>
          <cell r="J7">
            <v>12.179</v>
          </cell>
          <cell r="K7">
            <v>12.094999999999999</v>
          </cell>
          <cell r="L7">
            <v>12.019999999999998</v>
          </cell>
          <cell r="M7">
            <v>11.978</v>
          </cell>
          <cell r="N7">
            <v>4437.736</v>
          </cell>
          <cell r="O7">
            <v>12.157750000000002</v>
          </cell>
          <cell r="P7">
            <v>12.012</v>
          </cell>
          <cell r="Q7">
            <v>8.012</v>
          </cell>
          <cell r="R7">
            <v>12.313</v>
          </cell>
          <cell r="S7">
            <v>8.313</v>
          </cell>
        </row>
        <row r="8">
          <cell r="A8">
            <v>4</v>
          </cell>
          <cell r="B8">
            <v>11.934000000000003</v>
          </cell>
          <cell r="C8">
            <v>12.03</v>
          </cell>
          <cell r="D8">
            <v>12.13</v>
          </cell>
          <cell r="E8">
            <v>12.242000000000003</v>
          </cell>
          <cell r="F8">
            <v>12.329999999999998</v>
          </cell>
          <cell r="G8">
            <v>12.382000000000001</v>
          </cell>
          <cell r="H8">
            <v>12.370000000000003</v>
          </cell>
          <cell r="I8">
            <v>12.289999999999997</v>
          </cell>
          <cell r="J8">
            <v>12.182</v>
          </cell>
          <cell r="K8">
            <v>12.069999999999999</v>
          </cell>
          <cell r="L8">
            <v>11.969999999999997</v>
          </cell>
          <cell r="M8">
            <v>11.914</v>
          </cell>
          <cell r="N8">
            <v>4436.298000000001</v>
          </cell>
          <cell r="O8">
            <v>12.153666666666664</v>
          </cell>
          <cell r="P8">
            <v>11.959333333333333</v>
          </cell>
          <cell r="Q8">
            <v>7.959333333333333</v>
          </cell>
          <cell r="R8">
            <v>12.360666666666669</v>
          </cell>
          <cell r="S8">
            <v>8.360666666666669</v>
          </cell>
        </row>
        <row r="9">
          <cell r="A9">
            <v>5</v>
          </cell>
          <cell r="B9">
            <v>11.875000000000004</v>
          </cell>
          <cell r="C9">
            <v>11.995</v>
          </cell>
          <cell r="D9">
            <v>12.120000000000001</v>
          </cell>
          <cell r="E9">
            <v>12.260000000000003</v>
          </cell>
          <cell r="F9">
            <v>12.369999999999997</v>
          </cell>
          <cell r="G9">
            <v>12.435000000000002</v>
          </cell>
          <cell r="H9">
            <v>12.420000000000003</v>
          </cell>
          <cell r="I9">
            <v>12.319999999999997</v>
          </cell>
          <cell r="J9">
            <v>12.185</v>
          </cell>
          <cell r="K9">
            <v>12.044999999999998</v>
          </cell>
          <cell r="L9">
            <v>11.919999999999996</v>
          </cell>
          <cell r="M9">
            <v>11.85</v>
          </cell>
          <cell r="N9">
            <v>4434.860000000001</v>
          </cell>
          <cell r="O9">
            <v>12.149583333333332</v>
          </cell>
          <cell r="P9">
            <v>11.906666666666666</v>
          </cell>
          <cell r="Q9">
            <v>7.906666666666666</v>
          </cell>
          <cell r="R9">
            <v>12.408333333333333</v>
          </cell>
          <cell r="S9">
            <v>8.408333333333333</v>
          </cell>
        </row>
        <row r="10">
          <cell r="A10">
            <v>6</v>
          </cell>
          <cell r="B10">
            <v>11.816000000000004</v>
          </cell>
          <cell r="C10">
            <v>11.959999999999999</v>
          </cell>
          <cell r="D10">
            <v>12.110000000000001</v>
          </cell>
          <cell r="E10">
            <v>12.278000000000004</v>
          </cell>
          <cell r="F10">
            <v>12.409999999999997</v>
          </cell>
          <cell r="G10">
            <v>12.488000000000003</v>
          </cell>
          <cell r="H10">
            <v>12.470000000000004</v>
          </cell>
          <cell r="I10">
            <v>12.349999999999996</v>
          </cell>
          <cell r="J10">
            <v>12.188</v>
          </cell>
          <cell r="K10">
            <v>12.019999999999998</v>
          </cell>
          <cell r="L10">
            <v>11.869999999999996</v>
          </cell>
          <cell r="M10">
            <v>11.786</v>
          </cell>
          <cell r="N10">
            <v>4433.4220000000005</v>
          </cell>
          <cell r="O10">
            <v>12.1455</v>
          </cell>
          <cell r="P10">
            <v>11.854000000000001</v>
          </cell>
          <cell r="Q10">
            <v>7.854000000000001</v>
          </cell>
          <cell r="R10">
            <v>12.456000000000003</v>
          </cell>
          <cell r="S10">
            <v>8.456000000000003</v>
          </cell>
        </row>
        <row r="11">
          <cell r="A11">
            <v>7</v>
          </cell>
          <cell r="B11">
            <v>11.757000000000005</v>
          </cell>
          <cell r="C11">
            <v>11.924999999999999</v>
          </cell>
          <cell r="D11">
            <v>12.100000000000001</v>
          </cell>
          <cell r="E11">
            <v>12.296000000000005</v>
          </cell>
          <cell r="F11">
            <v>12.449999999999996</v>
          </cell>
          <cell r="G11">
            <v>12.541000000000004</v>
          </cell>
          <cell r="H11">
            <v>12.520000000000005</v>
          </cell>
          <cell r="I11">
            <v>12.379999999999995</v>
          </cell>
          <cell r="J11">
            <v>12.191</v>
          </cell>
          <cell r="K11">
            <v>11.994999999999997</v>
          </cell>
          <cell r="L11">
            <v>11.819999999999995</v>
          </cell>
          <cell r="M11">
            <v>11.722</v>
          </cell>
          <cell r="N11">
            <v>4431.9839999999995</v>
          </cell>
          <cell r="O11">
            <v>12.14141666666667</v>
          </cell>
          <cell r="P11">
            <v>11.801333333333334</v>
          </cell>
          <cell r="Q11">
            <v>7.801333333333334</v>
          </cell>
          <cell r="R11">
            <v>12.503666666666668</v>
          </cell>
          <cell r="S11">
            <v>8.503666666666668</v>
          </cell>
        </row>
        <row r="12">
          <cell r="A12">
            <v>8</v>
          </cell>
          <cell r="B12">
            <v>11.698000000000006</v>
          </cell>
          <cell r="C12">
            <v>11.889999999999999</v>
          </cell>
          <cell r="D12">
            <v>12.090000000000002</v>
          </cell>
          <cell r="E12">
            <v>12.314000000000005</v>
          </cell>
          <cell r="F12">
            <v>12.489999999999995</v>
          </cell>
          <cell r="G12">
            <v>12.594000000000005</v>
          </cell>
          <cell r="H12">
            <v>12.570000000000006</v>
          </cell>
          <cell r="I12">
            <v>12.409999999999995</v>
          </cell>
          <cell r="J12">
            <v>12.194</v>
          </cell>
          <cell r="K12">
            <v>11.969999999999997</v>
          </cell>
          <cell r="L12">
            <v>11.769999999999994</v>
          </cell>
          <cell r="M12">
            <v>11.658</v>
          </cell>
          <cell r="N12">
            <v>4430.546</v>
          </cell>
          <cell r="O12">
            <v>12.137333333333332</v>
          </cell>
          <cell r="P12">
            <v>11.748666666666667</v>
          </cell>
          <cell r="Q12">
            <v>7.748666666666667</v>
          </cell>
          <cell r="R12">
            <v>12.551333333333337</v>
          </cell>
          <cell r="S12">
            <v>8.551333333333337</v>
          </cell>
        </row>
        <row r="13">
          <cell r="A13">
            <v>9</v>
          </cell>
          <cell r="B13">
            <v>11.639000000000006</v>
          </cell>
          <cell r="C13">
            <v>11.854999999999999</v>
          </cell>
          <cell r="D13">
            <v>12.080000000000002</v>
          </cell>
          <cell r="E13">
            <v>12.332000000000006</v>
          </cell>
          <cell r="F13">
            <v>12.529999999999994</v>
          </cell>
          <cell r="G13">
            <v>12.647000000000006</v>
          </cell>
          <cell r="H13">
            <v>12.620000000000006</v>
          </cell>
          <cell r="I13">
            <v>12.439999999999994</v>
          </cell>
          <cell r="J13">
            <v>12.197000000000001</v>
          </cell>
          <cell r="K13">
            <v>11.944999999999997</v>
          </cell>
          <cell r="L13">
            <v>11.719999999999994</v>
          </cell>
          <cell r="M13">
            <v>11.594</v>
          </cell>
          <cell r="N13">
            <v>4429.108</v>
          </cell>
          <cell r="O13">
            <v>12.133250000000002</v>
          </cell>
          <cell r="P13">
            <v>11.696</v>
          </cell>
          <cell r="Q13">
            <v>7.696</v>
          </cell>
          <cell r="R13">
            <v>12.599000000000002</v>
          </cell>
          <cell r="S13">
            <v>8.599000000000002</v>
          </cell>
        </row>
        <row r="14">
          <cell r="A14">
            <v>10</v>
          </cell>
          <cell r="B14">
            <v>11.580000000000007</v>
          </cell>
          <cell r="C14">
            <v>11.819999999999999</v>
          </cell>
          <cell r="D14">
            <v>12.070000000000002</v>
          </cell>
          <cell r="E14">
            <v>12.350000000000007</v>
          </cell>
          <cell r="F14">
            <v>12.569999999999993</v>
          </cell>
          <cell r="G14">
            <v>12.700000000000006</v>
          </cell>
          <cell r="H14">
            <v>12.670000000000007</v>
          </cell>
          <cell r="I14">
            <v>12.469999999999994</v>
          </cell>
          <cell r="J14">
            <v>12.200000000000001</v>
          </cell>
          <cell r="K14">
            <v>11.919999999999996</v>
          </cell>
          <cell r="L14">
            <v>11.669999999999993</v>
          </cell>
          <cell r="M14">
            <v>11.53</v>
          </cell>
          <cell r="N14">
            <v>4427.670000000001</v>
          </cell>
          <cell r="O14">
            <v>12.129166666666668</v>
          </cell>
          <cell r="P14">
            <v>11.643333333333336</v>
          </cell>
          <cell r="Q14">
            <v>7.643333333333336</v>
          </cell>
          <cell r="R14">
            <v>12.64666666666667</v>
          </cell>
          <cell r="S14">
            <v>8.64666666666667</v>
          </cell>
        </row>
        <row r="15">
          <cell r="A15">
            <v>11</v>
          </cell>
          <cell r="B15">
            <v>11.525000000000007</v>
          </cell>
          <cell r="C15">
            <v>11.772999999999998</v>
          </cell>
          <cell r="D15">
            <v>12.063000000000002</v>
          </cell>
          <cell r="E15">
            <v>12.375000000000007</v>
          </cell>
          <cell r="F15">
            <v>12.619999999999994</v>
          </cell>
          <cell r="G15">
            <v>12.752000000000006</v>
          </cell>
          <cell r="H15">
            <v>12.730000000000008</v>
          </cell>
          <cell r="I15">
            <v>12.505999999999993</v>
          </cell>
          <cell r="J15">
            <v>12.208000000000002</v>
          </cell>
          <cell r="K15">
            <v>11.897999999999996</v>
          </cell>
          <cell r="L15">
            <v>11.622999999999992</v>
          </cell>
          <cell r="M15">
            <v>11.469999999999999</v>
          </cell>
          <cell r="N15">
            <v>4427.556</v>
          </cell>
          <cell r="O15">
            <v>12.128583333333333</v>
          </cell>
          <cell r="P15">
            <v>11.589333333333334</v>
          </cell>
          <cell r="Q15">
            <v>7.589333333333334</v>
          </cell>
          <cell r="R15">
            <v>12.700666666666669</v>
          </cell>
          <cell r="S15">
            <v>8.700666666666669</v>
          </cell>
        </row>
        <row r="16">
          <cell r="A16">
            <v>12</v>
          </cell>
          <cell r="B16">
            <v>11.470000000000008</v>
          </cell>
          <cell r="C16">
            <v>11.725999999999997</v>
          </cell>
          <cell r="D16">
            <v>12.056000000000003</v>
          </cell>
          <cell r="E16">
            <v>12.400000000000007</v>
          </cell>
          <cell r="F16">
            <v>12.669999999999995</v>
          </cell>
          <cell r="G16">
            <v>12.804000000000006</v>
          </cell>
          <cell r="H16">
            <v>12.790000000000008</v>
          </cell>
          <cell r="I16">
            <v>12.541999999999993</v>
          </cell>
          <cell r="J16">
            <v>12.216000000000001</v>
          </cell>
          <cell r="K16">
            <v>11.875999999999996</v>
          </cell>
          <cell r="L16">
            <v>11.575999999999992</v>
          </cell>
          <cell r="M16">
            <v>11.409999999999998</v>
          </cell>
          <cell r="N16">
            <v>4427.442</v>
          </cell>
          <cell r="O16">
            <v>12.127999999999998</v>
          </cell>
          <cell r="P16">
            <v>11.535333333333334</v>
          </cell>
          <cell r="Q16">
            <v>7.535333333333334</v>
          </cell>
          <cell r="R16">
            <v>12.75466666666667</v>
          </cell>
          <cell r="S16">
            <v>8.75466666666667</v>
          </cell>
        </row>
        <row r="17">
          <cell r="A17">
            <v>13</v>
          </cell>
          <cell r="B17">
            <v>11.415000000000008</v>
          </cell>
          <cell r="C17">
            <v>11.678999999999997</v>
          </cell>
          <cell r="D17">
            <v>12.049000000000003</v>
          </cell>
          <cell r="E17">
            <v>12.425000000000008</v>
          </cell>
          <cell r="F17">
            <v>12.719999999999995</v>
          </cell>
          <cell r="G17">
            <v>12.856000000000005</v>
          </cell>
          <cell r="H17">
            <v>12.850000000000009</v>
          </cell>
          <cell r="I17">
            <v>12.577999999999992</v>
          </cell>
          <cell r="J17">
            <v>12.224</v>
          </cell>
          <cell r="K17">
            <v>11.853999999999996</v>
          </cell>
          <cell r="L17">
            <v>11.528999999999991</v>
          </cell>
          <cell r="M17">
            <v>11.349999999999998</v>
          </cell>
          <cell r="N17">
            <v>4427.328</v>
          </cell>
          <cell r="O17">
            <v>12.127416666666667</v>
          </cell>
          <cell r="P17">
            <v>11.481333333333334</v>
          </cell>
          <cell r="Q17">
            <v>7.481333333333334</v>
          </cell>
          <cell r="R17">
            <v>12.808666666666669</v>
          </cell>
          <cell r="S17">
            <v>8.808666666666669</v>
          </cell>
        </row>
        <row r="18">
          <cell r="A18">
            <v>14</v>
          </cell>
          <cell r="B18">
            <v>11.360000000000008</v>
          </cell>
          <cell r="C18">
            <v>11.631999999999996</v>
          </cell>
          <cell r="D18">
            <v>12.042000000000003</v>
          </cell>
          <cell r="E18">
            <v>12.450000000000008</v>
          </cell>
          <cell r="F18">
            <v>12.769999999999996</v>
          </cell>
          <cell r="G18">
            <v>12.908000000000005</v>
          </cell>
          <cell r="H18">
            <v>12.910000000000009</v>
          </cell>
          <cell r="I18">
            <v>12.613999999999992</v>
          </cell>
          <cell r="J18">
            <v>12.232</v>
          </cell>
          <cell r="K18">
            <v>11.831999999999995</v>
          </cell>
          <cell r="L18">
            <v>11.48199999999999</v>
          </cell>
          <cell r="M18">
            <v>11.289999999999997</v>
          </cell>
          <cell r="N18">
            <v>4427.214</v>
          </cell>
          <cell r="O18">
            <v>12.126833333333332</v>
          </cell>
          <cell r="P18">
            <v>11.427333333333335</v>
          </cell>
          <cell r="Q18">
            <v>7.427333333333335</v>
          </cell>
          <cell r="R18">
            <v>12.86266666666667</v>
          </cell>
          <cell r="S18">
            <v>8.86266666666667</v>
          </cell>
        </row>
        <row r="19">
          <cell r="A19">
            <v>15</v>
          </cell>
          <cell r="B19">
            <v>11.305000000000009</v>
          </cell>
          <cell r="C19">
            <v>11.584999999999996</v>
          </cell>
          <cell r="D19">
            <v>12.035000000000004</v>
          </cell>
          <cell r="E19">
            <v>12.475000000000009</v>
          </cell>
          <cell r="F19">
            <v>12.819999999999997</v>
          </cell>
          <cell r="G19">
            <v>12.960000000000004</v>
          </cell>
          <cell r="H19">
            <v>12.97000000000001</v>
          </cell>
          <cell r="I19">
            <v>12.649999999999991</v>
          </cell>
          <cell r="J19">
            <v>12.239999999999998</v>
          </cell>
          <cell r="K19">
            <v>11.809999999999995</v>
          </cell>
          <cell r="L19">
            <v>11.43499999999999</v>
          </cell>
          <cell r="M19">
            <v>11.229999999999997</v>
          </cell>
          <cell r="N19">
            <v>4427.099999999999</v>
          </cell>
          <cell r="O19">
            <v>12.12625</v>
          </cell>
          <cell r="P19">
            <v>11.373333333333333</v>
          </cell>
          <cell r="Q19">
            <v>7.373333333333333</v>
          </cell>
          <cell r="R19">
            <v>12.916666666666671</v>
          </cell>
          <cell r="S19">
            <v>8.916666666666671</v>
          </cell>
        </row>
        <row r="20">
          <cell r="A20">
            <v>16</v>
          </cell>
          <cell r="B20">
            <v>11.250000000000009</v>
          </cell>
          <cell r="C20">
            <v>11.537999999999995</v>
          </cell>
          <cell r="D20">
            <v>12.028000000000004</v>
          </cell>
          <cell r="E20">
            <v>12.500000000000009</v>
          </cell>
          <cell r="F20">
            <v>12.869999999999997</v>
          </cell>
          <cell r="G20">
            <v>13.012000000000004</v>
          </cell>
          <cell r="H20">
            <v>13.03000000000001</v>
          </cell>
          <cell r="I20">
            <v>12.685999999999991</v>
          </cell>
          <cell r="J20">
            <v>12.247999999999998</v>
          </cell>
          <cell r="K20">
            <v>11.787999999999995</v>
          </cell>
          <cell r="L20">
            <v>11.38799999999999</v>
          </cell>
          <cell r="M20">
            <v>11.169999999999996</v>
          </cell>
          <cell r="N20">
            <v>4426.986</v>
          </cell>
          <cell r="O20">
            <v>12.125666666666667</v>
          </cell>
          <cell r="P20">
            <v>11.319333333333333</v>
          </cell>
          <cell r="Q20">
            <v>7.319333333333333</v>
          </cell>
          <cell r="R20">
            <v>12.970666666666668</v>
          </cell>
          <cell r="S20">
            <v>8.970666666666668</v>
          </cell>
        </row>
        <row r="21">
          <cell r="A21">
            <v>17</v>
          </cell>
          <cell r="B21">
            <v>11.19500000000001</v>
          </cell>
          <cell r="C21">
            <v>11.490999999999994</v>
          </cell>
          <cell r="D21">
            <v>12.021000000000004</v>
          </cell>
          <cell r="E21">
            <v>12.52500000000001</v>
          </cell>
          <cell r="F21">
            <v>12.919999999999998</v>
          </cell>
          <cell r="G21">
            <v>13.064000000000004</v>
          </cell>
          <cell r="H21">
            <v>13.09000000000001</v>
          </cell>
          <cell r="I21">
            <v>12.72199999999999</v>
          </cell>
          <cell r="J21">
            <v>12.255999999999997</v>
          </cell>
          <cell r="K21">
            <v>11.765999999999995</v>
          </cell>
          <cell r="L21">
            <v>11.340999999999989</v>
          </cell>
          <cell r="M21">
            <v>11.109999999999996</v>
          </cell>
          <cell r="N21">
            <v>4426.871999999999</v>
          </cell>
          <cell r="O21">
            <v>12.125083333333334</v>
          </cell>
          <cell r="P21">
            <v>11.265333333333333</v>
          </cell>
          <cell r="Q21">
            <v>7.2653333333333325</v>
          </cell>
          <cell r="R21">
            <v>13.02466666666667</v>
          </cell>
          <cell r="S21">
            <v>9.02466666666667</v>
          </cell>
        </row>
        <row r="22">
          <cell r="A22">
            <v>18</v>
          </cell>
          <cell r="B22">
            <v>11.14000000000001</v>
          </cell>
          <cell r="C22">
            <v>11.443999999999994</v>
          </cell>
          <cell r="D22">
            <v>12.014000000000005</v>
          </cell>
          <cell r="E22">
            <v>12.55000000000001</v>
          </cell>
          <cell r="F22">
            <v>12.969999999999999</v>
          </cell>
          <cell r="G22">
            <v>13.116000000000003</v>
          </cell>
          <cell r="H22">
            <v>13.150000000000011</v>
          </cell>
          <cell r="I22">
            <v>12.75799999999999</v>
          </cell>
          <cell r="J22">
            <v>12.263999999999996</v>
          </cell>
          <cell r="K22">
            <v>11.743999999999994</v>
          </cell>
          <cell r="L22">
            <v>11.293999999999988</v>
          </cell>
          <cell r="M22">
            <v>11.049999999999995</v>
          </cell>
          <cell r="N22">
            <v>4426.758</v>
          </cell>
          <cell r="O22">
            <v>12.1245</v>
          </cell>
          <cell r="P22">
            <v>11.211333333333334</v>
          </cell>
          <cell r="Q22">
            <v>7.211333333333334</v>
          </cell>
          <cell r="R22">
            <v>13.078666666666672</v>
          </cell>
          <cell r="S22">
            <v>9.078666666666672</v>
          </cell>
        </row>
        <row r="23">
          <cell r="A23">
            <v>19</v>
          </cell>
          <cell r="B23">
            <v>11.08500000000001</v>
          </cell>
          <cell r="C23">
            <v>11.396999999999993</v>
          </cell>
          <cell r="D23">
            <v>12.007000000000005</v>
          </cell>
          <cell r="E23">
            <v>12.57500000000001</v>
          </cell>
          <cell r="F23">
            <v>13.02</v>
          </cell>
          <cell r="G23">
            <v>13.168000000000003</v>
          </cell>
          <cell r="H23">
            <v>13.210000000000012</v>
          </cell>
          <cell r="I23">
            <v>12.79399999999999</v>
          </cell>
          <cell r="J23">
            <v>12.271999999999995</v>
          </cell>
          <cell r="K23">
            <v>11.721999999999994</v>
          </cell>
          <cell r="L23">
            <v>11.246999999999987</v>
          </cell>
          <cell r="M23">
            <v>10.989999999999995</v>
          </cell>
          <cell r="N23">
            <v>4426.643999999999</v>
          </cell>
          <cell r="O23">
            <v>12.123916666666668</v>
          </cell>
          <cell r="P23">
            <v>11.157333333333332</v>
          </cell>
          <cell r="Q23">
            <v>7.157333333333332</v>
          </cell>
          <cell r="R23">
            <v>13.13266666666667</v>
          </cell>
          <cell r="S23">
            <v>9.13266666666667</v>
          </cell>
        </row>
        <row r="24">
          <cell r="A24">
            <v>20</v>
          </cell>
          <cell r="B24">
            <v>11.03000000000001</v>
          </cell>
          <cell r="C24">
            <v>11.349999999999993</v>
          </cell>
          <cell r="D24">
            <v>12.000000000000005</v>
          </cell>
          <cell r="E24">
            <v>12.60000000000001</v>
          </cell>
          <cell r="F24">
            <v>13.07</v>
          </cell>
          <cell r="G24">
            <v>13.220000000000002</v>
          </cell>
          <cell r="H24">
            <v>13.270000000000012</v>
          </cell>
          <cell r="I24">
            <v>12.82999999999999</v>
          </cell>
          <cell r="J24">
            <v>12.279999999999994</v>
          </cell>
          <cell r="K24">
            <v>11.699999999999994</v>
          </cell>
          <cell r="L24">
            <v>11.199999999999987</v>
          </cell>
          <cell r="M24">
            <v>10.929999999999994</v>
          </cell>
          <cell r="N24">
            <v>4426.529999999999</v>
          </cell>
          <cell r="O24">
            <v>12.123333333333333</v>
          </cell>
          <cell r="P24">
            <v>11.103333333333332</v>
          </cell>
          <cell r="Q24">
            <v>7.103333333333332</v>
          </cell>
          <cell r="R24">
            <v>13.186666666666673</v>
          </cell>
          <cell r="S24">
            <v>9.186666666666673</v>
          </cell>
        </row>
        <row r="25">
          <cell r="A25">
            <v>21</v>
          </cell>
          <cell r="B25">
            <v>10.96700000000001</v>
          </cell>
          <cell r="C25">
            <v>11.330999999999992</v>
          </cell>
          <cell r="D25">
            <v>11.995000000000005</v>
          </cell>
          <cell r="E25">
            <v>12.62800000000001</v>
          </cell>
          <cell r="F25">
            <v>13.1996</v>
          </cell>
          <cell r="G25">
            <v>13.304600000000002</v>
          </cell>
          <cell r="H25">
            <v>13.336000000000013</v>
          </cell>
          <cell r="I25">
            <v>12.873699999999989</v>
          </cell>
          <cell r="J25">
            <v>12.290299999999995</v>
          </cell>
          <cell r="K25">
            <v>11.676699999999993</v>
          </cell>
          <cell r="L25">
            <v>11.145999999999987</v>
          </cell>
          <cell r="M25">
            <v>10.859999999999994</v>
          </cell>
          <cell r="N25">
            <v>4430.482999999999</v>
          </cell>
          <cell r="O25">
            <v>12.133991666666667</v>
          </cell>
          <cell r="P25">
            <v>11.052666666666667</v>
          </cell>
          <cell r="Q25">
            <v>7.052666666666667</v>
          </cell>
          <cell r="R25">
            <v>13.280066666666672</v>
          </cell>
          <cell r="S25">
            <v>9.280066666666672</v>
          </cell>
        </row>
        <row r="26">
          <cell r="A26">
            <v>22</v>
          </cell>
          <cell r="B26">
            <v>10.904000000000009</v>
          </cell>
          <cell r="C26">
            <v>11.311999999999992</v>
          </cell>
          <cell r="D26">
            <v>11.990000000000004</v>
          </cell>
          <cell r="E26">
            <v>12.656000000000011</v>
          </cell>
          <cell r="F26">
            <v>13.3292</v>
          </cell>
          <cell r="G26">
            <v>13.389200000000002</v>
          </cell>
          <cell r="H26">
            <v>13.402000000000013</v>
          </cell>
          <cell r="I26">
            <v>12.917399999999988</v>
          </cell>
          <cell r="J26">
            <v>12.300599999999996</v>
          </cell>
          <cell r="K26">
            <v>11.653399999999994</v>
          </cell>
          <cell r="L26">
            <v>11.091999999999986</v>
          </cell>
          <cell r="M26">
            <v>10.789999999999994</v>
          </cell>
          <cell r="N26">
            <v>4434.436</v>
          </cell>
          <cell r="O26">
            <v>12.14465</v>
          </cell>
          <cell r="P26">
            <v>11.001999999999997</v>
          </cell>
          <cell r="Q26">
            <v>7.001999999999997</v>
          </cell>
          <cell r="R26">
            <v>13.373466666666673</v>
          </cell>
          <cell r="S26">
            <v>9.373466666666673</v>
          </cell>
        </row>
        <row r="27">
          <cell r="A27">
            <v>23</v>
          </cell>
          <cell r="B27">
            <v>10.841000000000008</v>
          </cell>
          <cell r="C27">
            <v>11.292999999999992</v>
          </cell>
          <cell r="D27">
            <v>11.985000000000003</v>
          </cell>
          <cell r="E27">
            <v>12.684000000000012</v>
          </cell>
          <cell r="F27">
            <v>13.4588</v>
          </cell>
          <cell r="G27">
            <v>13.473800000000002</v>
          </cell>
          <cell r="H27">
            <v>13.468000000000014</v>
          </cell>
          <cell r="I27">
            <v>12.961099999999988</v>
          </cell>
          <cell r="J27">
            <v>12.310899999999997</v>
          </cell>
          <cell r="K27">
            <v>11.630099999999995</v>
          </cell>
          <cell r="L27">
            <v>11.037999999999986</v>
          </cell>
          <cell r="M27">
            <v>10.719999999999994</v>
          </cell>
          <cell r="N27">
            <v>4438.388999999999</v>
          </cell>
          <cell r="O27">
            <v>12.155308333333332</v>
          </cell>
          <cell r="P27">
            <v>10.95133333333333</v>
          </cell>
          <cell r="Q27">
            <v>6.951333333333331</v>
          </cell>
          <cell r="R27">
            <v>13.466866666666673</v>
          </cell>
          <cell r="S27">
            <v>9.466866666666673</v>
          </cell>
        </row>
        <row r="28">
          <cell r="A28">
            <v>24</v>
          </cell>
          <cell r="B28">
            <v>10.778000000000008</v>
          </cell>
          <cell r="C28">
            <v>11.273999999999992</v>
          </cell>
          <cell r="D28">
            <v>11.980000000000002</v>
          </cell>
          <cell r="E28">
            <v>12.712000000000012</v>
          </cell>
          <cell r="F28">
            <v>13.5884</v>
          </cell>
          <cell r="G28">
            <v>13.558400000000002</v>
          </cell>
          <cell r="H28">
            <v>13.534000000000015</v>
          </cell>
          <cell r="I28">
            <v>13.004799999999987</v>
          </cell>
          <cell r="J28">
            <v>12.321199999999997</v>
          </cell>
          <cell r="K28">
            <v>11.606799999999996</v>
          </cell>
          <cell r="L28">
            <v>10.983999999999986</v>
          </cell>
          <cell r="M28">
            <v>10.649999999999993</v>
          </cell>
          <cell r="N28">
            <v>4442.342</v>
          </cell>
          <cell r="O28">
            <v>12.165966666666668</v>
          </cell>
          <cell r="P28">
            <v>10.900666666666664</v>
          </cell>
          <cell r="Q28">
            <v>6.900666666666664</v>
          </cell>
          <cell r="R28">
            <v>13.560266666666672</v>
          </cell>
          <cell r="S28">
            <v>9.560266666666672</v>
          </cell>
        </row>
        <row r="29">
          <cell r="A29">
            <v>25</v>
          </cell>
          <cell r="B29">
            <v>10.715000000000007</v>
          </cell>
          <cell r="C29">
            <v>11.254999999999992</v>
          </cell>
          <cell r="D29">
            <v>11.975000000000001</v>
          </cell>
          <cell r="E29">
            <v>12.740000000000013</v>
          </cell>
          <cell r="F29">
            <v>13.718</v>
          </cell>
          <cell r="G29">
            <v>13.643000000000002</v>
          </cell>
          <cell r="H29">
            <v>13.600000000000016</v>
          </cell>
          <cell r="I29">
            <v>13.048499999999986</v>
          </cell>
          <cell r="J29">
            <v>12.331499999999998</v>
          </cell>
          <cell r="K29">
            <v>11.583499999999997</v>
          </cell>
          <cell r="L29">
            <v>10.929999999999986</v>
          </cell>
          <cell r="M29">
            <v>10.579999999999993</v>
          </cell>
          <cell r="N29">
            <v>4446.294999999999</v>
          </cell>
          <cell r="O29">
            <v>12.176625000000001</v>
          </cell>
          <cell r="P29">
            <v>10.85</v>
          </cell>
          <cell r="Q29">
            <v>6.85</v>
          </cell>
          <cell r="R29">
            <v>13.653666666666673</v>
          </cell>
          <cell r="S29">
            <v>9.653666666666673</v>
          </cell>
        </row>
        <row r="30">
          <cell r="A30">
            <v>26</v>
          </cell>
          <cell r="B30">
            <v>10.652000000000006</v>
          </cell>
          <cell r="C30">
            <v>11.235999999999992</v>
          </cell>
          <cell r="D30">
            <v>11.97</v>
          </cell>
          <cell r="E30">
            <v>12.768000000000013</v>
          </cell>
          <cell r="F30">
            <v>13.8476</v>
          </cell>
          <cell r="G30">
            <v>13.727600000000002</v>
          </cell>
          <cell r="H30">
            <v>13.666000000000016</v>
          </cell>
          <cell r="I30">
            <v>13.092199999999986</v>
          </cell>
          <cell r="J30">
            <v>12.3418</v>
          </cell>
          <cell r="K30">
            <v>11.560199999999998</v>
          </cell>
          <cell r="L30">
            <v>10.875999999999985</v>
          </cell>
          <cell r="M30">
            <v>10.509999999999993</v>
          </cell>
          <cell r="N30">
            <v>4450.248</v>
          </cell>
          <cell r="O30">
            <v>12.187283333333333</v>
          </cell>
          <cell r="P30">
            <v>10.79933333333333</v>
          </cell>
          <cell r="Q30">
            <v>6.79933333333333</v>
          </cell>
          <cell r="R30">
            <v>13.747066666666674</v>
          </cell>
          <cell r="S30">
            <v>9.747066666666674</v>
          </cell>
        </row>
        <row r="31">
          <cell r="A31">
            <v>27</v>
          </cell>
          <cell r="B31">
            <v>10.589000000000006</v>
          </cell>
          <cell r="C31">
            <v>11.216999999999992</v>
          </cell>
          <cell r="D31">
            <v>11.965</v>
          </cell>
          <cell r="E31">
            <v>12.796000000000014</v>
          </cell>
          <cell r="F31">
            <v>13.9772</v>
          </cell>
          <cell r="G31">
            <v>13.812200000000002</v>
          </cell>
          <cell r="H31">
            <v>13.732000000000017</v>
          </cell>
          <cell r="I31">
            <v>13.135899999999985</v>
          </cell>
          <cell r="J31">
            <v>12.3521</v>
          </cell>
          <cell r="K31">
            <v>11.5369</v>
          </cell>
          <cell r="L31">
            <v>10.821999999999985</v>
          </cell>
          <cell r="M31">
            <v>10.439999999999992</v>
          </cell>
          <cell r="N31">
            <v>4454.201</v>
          </cell>
          <cell r="O31">
            <v>12.197941666666667</v>
          </cell>
          <cell r="P31">
            <v>10.748666666666663</v>
          </cell>
          <cell r="Q31">
            <v>6.748666666666663</v>
          </cell>
          <cell r="R31">
            <v>13.840466666666673</v>
          </cell>
          <cell r="S31">
            <v>9.840466666666673</v>
          </cell>
        </row>
        <row r="32">
          <cell r="A32">
            <v>28</v>
          </cell>
          <cell r="B32">
            <v>10.526000000000005</v>
          </cell>
          <cell r="C32">
            <v>11.197999999999992</v>
          </cell>
          <cell r="D32">
            <v>11.959999999999999</v>
          </cell>
          <cell r="E32">
            <v>12.824000000000014</v>
          </cell>
          <cell r="F32">
            <v>14.1068</v>
          </cell>
          <cell r="G32">
            <v>13.896800000000002</v>
          </cell>
          <cell r="H32">
            <v>13.798000000000018</v>
          </cell>
          <cell r="I32">
            <v>13.179599999999985</v>
          </cell>
          <cell r="J32">
            <v>12.362400000000001</v>
          </cell>
          <cell r="K32">
            <v>11.5136</v>
          </cell>
          <cell r="L32">
            <v>10.767999999999985</v>
          </cell>
          <cell r="M32">
            <v>10.369999999999992</v>
          </cell>
          <cell r="N32">
            <v>4458.1539999999995</v>
          </cell>
          <cell r="O32">
            <v>12.208599999999999</v>
          </cell>
          <cell r="P32">
            <v>10.697999999999995</v>
          </cell>
          <cell r="Q32">
            <v>6.697999999999995</v>
          </cell>
          <cell r="R32">
            <v>13.933866666666674</v>
          </cell>
          <cell r="S32">
            <v>9.933866666666674</v>
          </cell>
        </row>
        <row r="33">
          <cell r="A33">
            <v>29</v>
          </cell>
          <cell r="B33">
            <v>10.463000000000005</v>
          </cell>
          <cell r="C33">
            <v>11.178999999999991</v>
          </cell>
          <cell r="D33">
            <v>11.954999999999998</v>
          </cell>
          <cell r="E33">
            <v>12.852000000000015</v>
          </cell>
          <cell r="F33">
            <v>14.2364</v>
          </cell>
          <cell r="G33">
            <v>13.981400000000002</v>
          </cell>
          <cell r="H33">
            <v>13.864000000000019</v>
          </cell>
          <cell r="I33">
            <v>13.223299999999984</v>
          </cell>
          <cell r="J33">
            <v>12.372700000000002</v>
          </cell>
          <cell r="K33">
            <v>11.490300000000001</v>
          </cell>
          <cell r="L33">
            <v>10.713999999999984</v>
          </cell>
          <cell r="M33">
            <v>10.299999999999992</v>
          </cell>
          <cell r="N33">
            <v>4462.107</v>
          </cell>
          <cell r="O33">
            <v>12.219258333333334</v>
          </cell>
          <cell r="P33">
            <v>10.64733333333333</v>
          </cell>
          <cell r="Q33">
            <v>6.64733333333333</v>
          </cell>
          <cell r="R33">
            <v>14.027266666666675</v>
          </cell>
          <cell r="S33">
            <v>10.027266666666675</v>
          </cell>
        </row>
        <row r="34">
          <cell r="A34">
            <v>30</v>
          </cell>
          <cell r="B34">
            <v>10.400000000000004</v>
          </cell>
          <cell r="C34">
            <v>11.159999999999991</v>
          </cell>
          <cell r="D34">
            <v>11.949999999999998</v>
          </cell>
          <cell r="E34">
            <v>12.880000000000015</v>
          </cell>
          <cell r="F34">
            <v>14.366</v>
          </cell>
          <cell r="G34">
            <v>14.066000000000003</v>
          </cell>
          <cell r="H34">
            <v>13.93000000000002</v>
          </cell>
          <cell r="I34">
            <v>13.266999999999983</v>
          </cell>
          <cell r="J34">
            <v>12.383000000000003</v>
          </cell>
          <cell r="K34">
            <v>11.467000000000002</v>
          </cell>
          <cell r="L34">
            <v>10.659999999999984</v>
          </cell>
          <cell r="M34">
            <v>10.229999999999992</v>
          </cell>
          <cell r="N34">
            <v>4466.06</v>
          </cell>
          <cell r="O34">
            <v>12.229916666666666</v>
          </cell>
          <cell r="P34">
            <v>10.596666666666662</v>
          </cell>
          <cell r="Q34">
            <v>6.596666666666662</v>
          </cell>
          <cell r="R34">
            <v>14.120666666666674</v>
          </cell>
          <cell r="S34">
            <v>10.120666666666674</v>
          </cell>
        </row>
        <row r="35">
          <cell r="A35">
            <v>31</v>
          </cell>
          <cell r="B35">
            <v>10.322000000000005</v>
          </cell>
          <cell r="C35">
            <v>11.113999999999992</v>
          </cell>
          <cell r="D35">
            <v>11.942999999999998</v>
          </cell>
          <cell r="E35">
            <v>12.915000000000015</v>
          </cell>
          <cell r="F35">
            <v>14.4664</v>
          </cell>
          <cell r="G35">
            <v>14.159400000000002</v>
          </cell>
          <cell r="H35">
            <v>14.01900000000002</v>
          </cell>
          <cell r="I35">
            <v>13.320299999999984</v>
          </cell>
          <cell r="J35">
            <v>12.396700000000003</v>
          </cell>
          <cell r="K35">
            <v>11.437300000000002</v>
          </cell>
          <cell r="L35">
            <v>10.595999999999984</v>
          </cell>
          <cell r="M35">
            <v>10.139999999999992</v>
          </cell>
          <cell r="N35">
            <v>4468.293000000001</v>
          </cell>
          <cell r="O35">
            <v>12.235758333333335</v>
          </cell>
          <cell r="P35">
            <v>10.525333333333329</v>
          </cell>
          <cell r="Q35">
            <v>6.525333333333329</v>
          </cell>
          <cell r="R35">
            <v>14.21493333333334</v>
          </cell>
          <cell r="S35">
            <v>10.21493333333334</v>
          </cell>
        </row>
        <row r="36">
          <cell r="A36">
            <v>32</v>
          </cell>
          <cell r="B36">
            <v>10.244000000000005</v>
          </cell>
          <cell r="C36">
            <v>11.067999999999993</v>
          </cell>
          <cell r="D36">
            <v>11.935999999999998</v>
          </cell>
          <cell r="E36">
            <v>12.950000000000015</v>
          </cell>
          <cell r="F36">
            <v>14.5668</v>
          </cell>
          <cell r="G36">
            <v>14.2528</v>
          </cell>
          <cell r="H36">
            <v>14.10800000000002</v>
          </cell>
          <cell r="I36">
            <v>13.373599999999984</v>
          </cell>
          <cell r="J36">
            <v>12.410400000000003</v>
          </cell>
          <cell r="K36">
            <v>11.407600000000002</v>
          </cell>
          <cell r="L36">
            <v>10.531999999999984</v>
          </cell>
          <cell r="M36">
            <v>10.049999999999992</v>
          </cell>
          <cell r="N36">
            <v>4470.526</v>
          </cell>
          <cell r="O36">
            <v>12.241599999999998</v>
          </cell>
          <cell r="P36">
            <v>10.453999999999995</v>
          </cell>
          <cell r="Q36">
            <v>6.453999999999995</v>
          </cell>
          <cell r="R36">
            <v>14.309200000000006</v>
          </cell>
          <cell r="S36">
            <v>10.309200000000006</v>
          </cell>
        </row>
        <row r="37">
          <cell r="A37">
            <v>33</v>
          </cell>
          <cell r="B37">
            <v>10.166000000000006</v>
          </cell>
          <cell r="C37">
            <v>11.021999999999993</v>
          </cell>
          <cell r="D37">
            <v>11.928999999999998</v>
          </cell>
          <cell r="E37">
            <v>12.985000000000015</v>
          </cell>
          <cell r="F37">
            <v>14.667200000000001</v>
          </cell>
          <cell r="G37">
            <v>14.3462</v>
          </cell>
          <cell r="H37">
            <v>14.19700000000002</v>
          </cell>
          <cell r="I37">
            <v>13.426899999999984</v>
          </cell>
          <cell r="J37">
            <v>12.424100000000003</v>
          </cell>
          <cell r="K37">
            <v>11.377900000000002</v>
          </cell>
          <cell r="L37">
            <v>10.467999999999984</v>
          </cell>
          <cell r="M37">
            <v>9.959999999999992</v>
          </cell>
          <cell r="N37">
            <v>4472.759</v>
          </cell>
          <cell r="O37">
            <v>12.247441666666665</v>
          </cell>
          <cell r="P37">
            <v>10.382666666666664</v>
          </cell>
          <cell r="Q37">
            <v>6.382666666666664</v>
          </cell>
          <cell r="R37">
            <v>14.403466666666674</v>
          </cell>
          <cell r="S37">
            <v>10.403466666666674</v>
          </cell>
        </row>
        <row r="38">
          <cell r="A38">
            <v>34</v>
          </cell>
          <cell r="B38">
            <v>10.088000000000006</v>
          </cell>
          <cell r="C38">
            <v>10.975999999999994</v>
          </cell>
          <cell r="D38">
            <v>11.921999999999999</v>
          </cell>
          <cell r="E38">
            <v>13.020000000000016</v>
          </cell>
          <cell r="F38">
            <v>14.767600000000002</v>
          </cell>
          <cell r="G38">
            <v>14.439599999999999</v>
          </cell>
          <cell r="H38">
            <v>14.286000000000021</v>
          </cell>
          <cell r="I38">
            <v>13.480199999999984</v>
          </cell>
          <cell r="J38">
            <v>12.437800000000003</v>
          </cell>
          <cell r="K38">
            <v>11.348200000000002</v>
          </cell>
          <cell r="L38">
            <v>10.403999999999984</v>
          </cell>
          <cell r="M38">
            <v>9.869999999999992</v>
          </cell>
          <cell r="N38">
            <v>4474.991999999999</v>
          </cell>
          <cell r="O38">
            <v>12.253283333333334</v>
          </cell>
          <cell r="P38">
            <v>10.31133333333333</v>
          </cell>
          <cell r="Q38">
            <v>6.31133333333333</v>
          </cell>
          <cell r="R38">
            <v>14.497733333333342</v>
          </cell>
          <cell r="S38">
            <v>10.497733333333342</v>
          </cell>
        </row>
        <row r="39">
          <cell r="A39">
            <v>35</v>
          </cell>
          <cell r="B39">
            <v>10.010000000000007</v>
          </cell>
          <cell r="C39">
            <v>10.929999999999994</v>
          </cell>
          <cell r="D39">
            <v>11.915</v>
          </cell>
          <cell r="E39">
            <v>13.055000000000016</v>
          </cell>
          <cell r="F39">
            <v>14.868000000000002</v>
          </cell>
          <cell r="G39">
            <v>14.532999999999998</v>
          </cell>
          <cell r="H39">
            <v>14.375000000000021</v>
          </cell>
          <cell r="I39">
            <v>13.533499999999984</v>
          </cell>
          <cell r="J39">
            <v>12.451500000000003</v>
          </cell>
          <cell r="K39">
            <v>11.318500000000002</v>
          </cell>
          <cell r="L39">
            <v>10.339999999999984</v>
          </cell>
          <cell r="M39">
            <v>9.779999999999992</v>
          </cell>
          <cell r="N39">
            <v>4477.225</v>
          </cell>
          <cell r="O39">
            <v>12.259125</v>
          </cell>
          <cell r="P39">
            <v>10.239999999999997</v>
          </cell>
          <cell r="Q39">
            <v>6.239999999999997</v>
          </cell>
          <cell r="R39">
            <v>14.592000000000008</v>
          </cell>
          <cell r="S39">
            <v>10.592000000000008</v>
          </cell>
        </row>
        <row r="40">
          <cell r="A40">
            <v>36</v>
          </cell>
          <cell r="B40">
            <v>9.932000000000007</v>
          </cell>
          <cell r="C40">
            <v>10.883999999999995</v>
          </cell>
          <cell r="D40">
            <v>11.908</v>
          </cell>
          <cell r="E40">
            <v>13.090000000000016</v>
          </cell>
          <cell r="F40">
            <v>14.968400000000003</v>
          </cell>
          <cell r="G40">
            <v>14.626399999999997</v>
          </cell>
          <cell r="H40">
            <v>14.464000000000022</v>
          </cell>
          <cell r="I40">
            <v>13.586799999999984</v>
          </cell>
          <cell r="J40">
            <v>12.465200000000003</v>
          </cell>
          <cell r="K40">
            <v>11.288800000000002</v>
          </cell>
          <cell r="L40">
            <v>10.275999999999984</v>
          </cell>
          <cell r="M40">
            <v>9.689999999999992</v>
          </cell>
          <cell r="N40">
            <v>4479.458</v>
          </cell>
          <cell r="O40">
            <v>12.264966666666668</v>
          </cell>
          <cell r="P40">
            <v>10.168666666666665</v>
          </cell>
          <cell r="Q40">
            <v>6.168666666666665</v>
          </cell>
          <cell r="R40">
            <v>14.686266666666674</v>
          </cell>
          <cell r="S40">
            <v>10.686266666666674</v>
          </cell>
        </row>
        <row r="41">
          <cell r="A41">
            <v>37</v>
          </cell>
          <cell r="B41">
            <v>9.854000000000008</v>
          </cell>
          <cell r="C41">
            <v>10.837999999999996</v>
          </cell>
          <cell r="D41">
            <v>11.901</v>
          </cell>
          <cell r="E41">
            <v>13.125000000000016</v>
          </cell>
          <cell r="F41">
            <v>15.068800000000003</v>
          </cell>
          <cell r="G41">
            <v>14.719799999999996</v>
          </cell>
          <cell r="H41">
            <v>14.553000000000022</v>
          </cell>
          <cell r="I41">
            <v>13.640099999999984</v>
          </cell>
          <cell r="J41">
            <v>12.478900000000003</v>
          </cell>
          <cell r="K41">
            <v>11.259100000000002</v>
          </cell>
          <cell r="L41">
            <v>10.211999999999984</v>
          </cell>
          <cell r="M41">
            <v>9.599999999999993</v>
          </cell>
          <cell r="N41">
            <v>4481.691</v>
          </cell>
          <cell r="O41">
            <v>12.270808333333335</v>
          </cell>
          <cell r="P41">
            <v>10.097333333333331</v>
          </cell>
          <cell r="Q41">
            <v>6.0973333333333315</v>
          </cell>
          <cell r="R41">
            <v>14.78053333333334</v>
          </cell>
          <cell r="S41">
            <v>10.78053333333334</v>
          </cell>
        </row>
        <row r="42">
          <cell r="A42">
            <v>38</v>
          </cell>
          <cell r="B42">
            <v>9.776000000000009</v>
          </cell>
          <cell r="C42">
            <v>10.791999999999996</v>
          </cell>
          <cell r="D42">
            <v>11.894</v>
          </cell>
          <cell r="E42">
            <v>13.160000000000016</v>
          </cell>
          <cell r="F42">
            <v>15.169200000000004</v>
          </cell>
          <cell r="G42">
            <v>14.813199999999995</v>
          </cell>
          <cell r="H42">
            <v>14.642000000000023</v>
          </cell>
          <cell r="I42">
            <v>13.693399999999984</v>
          </cell>
          <cell r="J42">
            <v>12.492600000000003</v>
          </cell>
          <cell r="K42">
            <v>11.229400000000002</v>
          </cell>
          <cell r="L42">
            <v>10.147999999999984</v>
          </cell>
          <cell r="M42">
            <v>9.509999999999993</v>
          </cell>
          <cell r="N42">
            <v>4483.924</v>
          </cell>
          <cell r="O42">
            <v>12.276650000000002</v>
          </cell>
          <cell r="P42">
            <v>10.025999999999998</v>
          </cell>
          <cell r="Q42">
            <v>6.025999999999998</v>
          </cell>
          <cell r="R42">
            <v>14.874800000000008</v>
          </cell>
          <cell r="S42">
            <v>10.874800000000008</v>
          </cell>
        </row>
        <row r="43">
          <cell r="A43">
            <v>39</v>
          </cell>
          <cell r="B43">
            <v>9.69800000000001</v>
          </cell>
          <cell r="C43">
            <v>10.745999999999997</v>
          </cell>
          <cell r="D43">
            <v>11.887</v>
          </cell>
          <cell r="E43">
            <v>13.195000000000016</v>
          </cell>
          <cell r="F43">
            <v>15.269600000000004</v>
          </cell>
          <cell r="G43">
            <v>14.906599999999994</v>
          </cell>
          <cell r="H43">
            <v>14.731000000000023</v>
          </cell>
          <cell r="I43">
            <v>13.746699999999985</v>
          </cell>
          <cell r="J43">
            <v>12.506300000000003</v>
          </cell>
          <cell r="K43">
            <v>11.199700000000002</v>
          </cell>
          <cell r="L43">
            <v>10.083999999999984</v>
          </cell>
          <cell r="M43">
            <v>9.419999999999993</v>
          </cell>
          <cell r="N43">
            <v>4486.157</v>
          </cell>
          <cell r="O43">
            <v>12.282491666666667</v>
          </cell>
          <cell r="P43">
            <v>9.954666666666666</v>
          </cell>
          <cell r="Q43">
            <v>5.954666666666666</v>
          </cell>
          <cell r="R43">
            <v>14.969066666666672</v>
          </cell>
          <cell r="S43">
            <v>10.969066666666672</v>
          </cell>
        </row>
        <row r="44">
          <cell r="A44">
            <v>40</v>
          </cell>
          <cell r="B44">
            <v>9.62000000000001</v>
          </cell>
          <cell r="C44">
            <v>10.699999999999998</v>
          </cell>
          <cell r="D44">
            <v>11.88</v>
          </cell>
          <cell r="E44">
            <v>13.230000000000016</v>
          </cell>
          <cell r="F44">
            <v>15.370000000000005</v>
          </cell>
          <cell r="G44">
            <v>14.999999999999993</v>
          </cell>
          <cell r="H44">
            <v>14.820000000000023</v>
          </cell>
          <cell r="I44">
            <v>13.799999999999985</v>
          </cell>
          <cell r="J44">
            <v>12.520000000000003</v>
          </cell>
          <cell r="K44">
            <v>11.170000000000002</v>
          </cell>
          <cell r="L44">
            <v>10.019999999999984</v>
          </cell>
          <cell r="M44">
            <v>9.329999999999993</v>
          </cell>
          <cell r="N44">
            <v>4488.389999999999</v>
          </cell>
          <cell r="O44">
            <v>12.288333333333332</v>
          </cell>
          <cell r="P44">
            <v>9.883333333333333</v>
          </cell>
          <cell r="Q44">
            <v>5.883333333333333</v>
          </cell>
          <cell r="R44">
            <v>15.06333333333334</v>
          </cell>
          <cell r="S44">
            <v>11.06333333333334</v>
          </cell>
        </row>
        <row r="45">
          <cell r="A45">
            <v>41</v>
          </cell>
          <cell r="B45">
            <v>9.50800000000001</v>
          </cell>
          <cell r="C45">
            <v>10.639999999999997</v>
          </cell>
          <cell r="D45">
            <v>11.872</v>
          </cell>
          <cell r="E45">
            <v>13.280000000000017</v>
          </cell>
          <cell r="F45">
            <v>15.540000000000004</v>
          </cell>
          <cell r="G45">
            <v>15.134999999999993</v>
          </cell>
          <cell r="H45">
            <v>14.901000000000023</v>
          </cell>
          <cell r="I45">
            <v>13.874999999999984</v>
          </cell>
          <cell r="J45">
            <v>12.538000000000004</v>
          </cell>
          <cell r="K45">
            <v>11.131000000000002</v>
          </cell>
          <cell r="L45">
            <v>9.927999999999983</v>
          </cell>
          <cell r="M45">
            <v>9.204999999999993</v>
          </cell>
          <cell r="N45">
            <v>4491.342</v>
          </cell>
          <cell r="O45">
            <v>12.296083333333334</v>
          </cell>
          <cell r="P45">
            <v>9.784333333333333</v>
          </cell>
          <cell r="Q45">
            <v>5.784333333333333</v>
          </cell>
          <cell r="R45">
            <v>15.192000000000007</v>
          </cell>
          <cell r="S45">
            <v>11.192000000000007</v>
          </cell>
        </row>
        <row r="46">
          <cell r="A46">
            <v>42</v>
          </cell>
          <cell r="B46">
            <v>9.39600000000001</v>
          </cell>
          <cell r="C46">
            <v>10.579999999999997</v>
          </cell>
          <cell r="D46">
            <v>11.864</v>
          </cell>
          <cell r="E46">
            <v>13.330000000000018</v>
          </cell>
          <cell r="F46">
            <v>15.710000000000004</v>
          </cell>
          <cell r="G46">
            <v>15.269999999999992</v>
          </cell>
          <cell r="H46">
            <v>14.982000000000022</v>
          </cell>
          <cell r="I46">
            <v>13.949999999999983</v>
          </cell>
          <cell r="J46">
            <v>12.556000000000004</v>
          </cell>
          <cell r="K46">
            <v>11.092000000000002</v>
          </cell>
          <cell r="L46">
            <v>9.835999999999983</v>
          </cell>
          <cell r="M46">
            <v>9.079999999999993</v>
          </cell>
          <cell r="N46">
            <v>4494.294</v>
          </cell>
          <cell r="O46">
            <v>12.303833333333335</v>
          </cell>
          <cell r="P46">
            <v>9.685333333333332</v>
          </cell>
          <cell r="Q46">
            <v>5.6853333333333325</v>
          </cell>
          <cell r="R46">
            <v>15.320666666666673</v>
          </cell>
          <cell r="S46">
            <v>11.320666666666673</v>
          </cell>
        </row>
        <row r="47">
          <cell r="A47">
            <v>43</v>
          </cell>
          <cell r="B47">
            <v>9.28400000000001</v>
          </cell>
          <cell r="C47">
            <v>10.519999999999996</v>
          </cell>
          <cell r="D47">
            <v>11.856000000000002</v>
          </cell>
          <cell r="E47">
            <v>13.380000000000019</v>
          </cell>
          <cell r="F47">
            <v>15.880000000000004</v>
          </cell>
          <cell r="G47">
            <v>15.404999999999992</v>
          </cell>
          <cell r="H47">
            <v>15.063000000000022</v>
          </cell>
          <cell r="I47">
            <v>14.024999999999983</v>
          </cell>
          <cell r="J47">
            <v>12.574000000000005</v>
          </cell>
          <cell r="K47">
            <v>11.053000000000003</v>
          </cell>
          <cell r="L47">
            <v>9.743999999999982</v>
          </cell>
          <cell r="M47">
            <v>8.954999999999993</v>
          </cell>
          <cell r="N47">
            <v>4497.246000000001</v>
          </cell>
          <cell r="O47">
            <v>12.311583333333331</v>
          </cell>
          <cell r="P47">
            <v>9.586333333333334</v>
          </cell>
          <cell r="Q47">
            <v>5.586333333333334</v>
          </cell>
          <cell r="R47">
            <v>15.44933333333334</v>
          </cell>
          <cell r="S47">
            <v>11.44933333333334</v>
          </cell>
        </row>
        <row r="48">
          <cell r="A48">
            <v>44</v>
          </cell>
          <cell r="B48">
            <v>9.17200000000001</v>
          </cell>
          <cell r="C48">
            <v>10.459999999999996</v>
          </cell>
          <cell r="D48">
            <v>11.848000000000003</v>
          </cell>
          <cell r="E48">
            <v>13.43000000000002</v>
          </cell>
          <cell r="F48">
            <v>16.050000000000004</v>
          </cell>
          <cell r="G48">
            <v>15.539999999999992</v>
          </cell>
          <cell r="H48">
            <v>15.144000000000021</v>
          </cell>
          <cell r="I48">
            <v>14.099999999999982</v>
          </cell>
          <cell r="J48">
            <v>12.592000000000006</v>
          </cell>
          <cell r="K48">
            <v>11.014000000000003</v>
          </cell>
          <cell r="L48">
            <v>9.651999999999981</v>
          </cell>
          <cell r="M48">
            <v>8.829999999999993</v>
          </cell>
          <cell r="N48">
            <v>4500.198</v>
          </cell>
          <cell r="O48">
            <v>12.319333333333335</v>
          </cell>
          <cell r="P48">
            <v>9.487333333333332</v>
          </cell>
          <cell r="Q48">
            <v>5.487333333333332</v>
          </cell>
          <cell r="R48">
            <v>15.578000000000005</v>
          </cell>
          <cell r="S48">
            <v>11.578000000000005</v>
          </cell>
        </row>
        <row r="49">
          <cell r="A49">
            <v>45</v>
          </cell>
          <cell r="B49">
            <v>9.06000000000001</v>
          </cell>
          <cell r="C49">
            <v>10.399999999999995</v>
          </cell>
          <cell r="D49">
            <v>11.840000000000003</v>
          </cell>
          <cell r="E49">
            <v>13.48000000000002</v>
          </cell>
          <cell r="F49">
            <v>16.220000000000006</v>
          </cell>
          <cell r="G49">
            <v>15.674999999999992</v>
          </cell>
          <cell r="H49">
            <v>15.225000000000021</v>
          </cell>
          <cell r="I49">
            <v>14.174999999999981</v>
          </cell>
          <cell r="J49">
            <v>12.610000000000007</v>
          </cell>
          <cell r="K49">
            <v>10.975000000000003</v>
          </cell>
          <cell r="L49">
            <v>9.559999999999981</v>
          </cell>
          <cell r="M49">
            <v>8.704999999999993</v>
          </cell>
          <cell r="N49">
            <v>4503.15</v>
          </cell>
          <cell r="O49">
            <v>12.327083333333333</v>
          </cell>
          <cell r="P49">
            <v>9.388333333333332</v>
          </cell>
          <cell r="Q49">
            <v>5.388333333333332</v>
          </cell>
          <cell r="R49">
            <v>15.706666666666672</v>
          </cell>
          <cell r="S49">
            <v>11.706666666666672</v>
          </cell>
        </row>
        <row r="50">
          <cell r="A50">
            <v>46</v>
          </cell>
          <cell r="B50">
            <v>8.94800000000001</v>
          </cell>
          <cell r="C50">
            <v>10.339999999999995</v>
          </cell>
          <cell r="D50">
            <v>11.832000000000004</v>
          </cell>
          <cell r="E50">
            <v>13.53000000000002</v>
          </cell>
          <cell r="F50">
            <v>16.390000000000008</v>
          </cell>
          <cell r="G50">
            <v>15.809999999999992</v>
          </cell>
          <cell r="H50">
            <v>15.30600000000002</v>
          </cell>
          <cell r="I50">
            <v>14.24999999999998</v>
          </cell>
          <cell r="J50">
            <v>12.628000000000007</v>
          </cell>
          <cell r="K50">
            <v>10.936000000000003</v>
          </cell>
          <cell r="L50">
            <v>9.46799999999998</v>
          </cell>
          <cell r="M50">
            <v>8.579999999999993</v>
          </cell>
          <cell r="N50">
            <v>4506.102</v>
          </cell>
          <cell r="O50">
            <v>12.334833333333336</v>
          </cell>
          <cell r="P50">
            <v>9.289333333333332</v>
          </cell>
          <cell r="Q50">
            <v>5.289333333333332</v>
          </cell>
          <cell r="R50">
            <v>15.835333333333338</v>
          </cell>
          <cell r="S50">
            <v>11.835333333333338</v>
          </cell>
        </row>
        <row r="51">
          <cell r="A51">
            <v>47</v>
          </cell>
          <cell r="B51">
            <v>8.83600000000001</v>
          </cell>
          <cell r="C51">
            <v>10.279999999999994</v>
          </cell>
          <cell r="D51">
            <v>11.824000000000005</v>
          </cell>
          <cell r="E51">
            <v>13.580000000000021</v>
          </cell>
          <cell r="F51">
            <v>16.56000000000001</v>
          </cell>
          <cell r="G51">
            <v>15.944999999999991</v>
          </cell>
          <cell r="H51">
            <v>15.38700000000002</v>
          </cell>
          <cell r="I51">
            <v>14.32499999999998</v>
          </cell>
          <cell r="J51">
            <v>12.646000000000008</v>
          </cell>
          <cell r="K51">
            <v>10.897000000000004</v>
          </cell>
          <cell r="L51">
            <v>9.37599999999998</v>
          </cell>
          <cell r="M51">
            <v>8.454999999999993</v>
          </cell>
          <cell r="N51">
            <v>4509.054</v>
          </cell>
          <cell r="O51">
            <v>12.342583333333332</v>
          </cell>
          <cell r="P51">
            <v>9.190333333333333</v>
          </cell>
          <cell r="Q51">
            <v>5.190333333333333</v>
          </cell>
          <cell r="R51">
            <v>15.964000000000008</v>
          </cell>
          <cell r="S51">
            <v>11.964000000000008</v>
          </cell>
        </row>
        <row r="52">
          <cell r="A52">
            <v>48</v>
          </cell>
          <cell r="B52">
            <v>8.724000000000009</v>
          </cell>
          <cell r="C52">
            <v>10.219999999999994</v>
          </cell>
          <cell r="D52">
            <v>11.816000000000006</v>
          </cell>
          <cell r="E52">
            <v>13.630000000000022</v>
          </cell>
          <cell r="F52">
            <v>16.73000000000001</v>
          </cell>
          <cell r="G52">
            <v>16.07999999999999</v>
          </cell>
          <cell r="H52">
            <v>15.46800000000002</v>
          </cell>
          <cell r="I52">
            <v>14.399999999999979</v>
          </cell>
          <cell r="J52">
            <v>12.664000000000009</v>
          </cell>
          <cell r="K52">
            <v>10.858000000000004</v>
          </cell>
          <cell r="L52">
            <v>9.28399999999998</v>
          </cell>
          <cell r="M52">
            <v>8.329999999999993</v>
          </cell>
          <cell r="N52">
            <v>4512.005999999999</v>
          </cell>
          <cell r="O52">
            <v>12.350333333333333</v>
          </cell>
          <cell r="P52">
            <v>9.091333333333331</v>
          </cell>
          <cell r="Q52">
            <v>5.091333333333331</v>
          </cell>
          <cell r="R52">
            <v>16.092666666666673</v>
          </cell>
          <cell r="S52">
            <v>12.092666666666673</v>
          </cell>
        </row>
        <row r="53">
          <cell r="A53">
            <v>49</v>
          </cell>
          <cell r="B53">
            <v>8.612000000000009</v>
          </cell>
          <cell r="C53">
            <v>10.159999999999993</v>
          </cell>
          <cell r="D53">
            <v>11.808000000000007</v>
          </cell>
          <cell r="E53">
            <v>13.680000000000023</v>
          </cell>
          <cell r="F53">
            <v>16.900000000000013</v>
          </cell>
          <cell r="G53">
            <v>16.214999999999993</v>
          </cell>
          <cell r="H53">
            <v>15.549000000000019</v>
          </cell>
          <cell r="I53">
            <v>14.474999999999978</v>
          </cell>
          <cell r="J53">
            <v>12.68200000000001</v>
          </cell>
          <cell r="K53">
            <v>10.819000000000004</v>
          </cell>
          <cell r="L53">
            <v>9.191999999999979</v>
          </cell>
          <cell r="M53">
            <v>8.204999999999993</v>
          </cell>
          <cell r="N53">
            <v>4514.9580000000005</v>
          </cell>
          <cell r="O53">
            <v>12.358083333333335</v>
          </cell>
          <cell r="P53">
            <v>8.992333333333331</v>
          </cell>
          <cell r="Q53">
            <v>4.992333333333331</v>
          </cell>
          <cell r="R53">
            <v>16.221333333333344</v>
          </cell>
          <cell r="S53">
            <v>12.221333333333344</v>
          </cell>
        </row>
        <row r="54">
          <cell r="A54">
            <v>50</v>
          </cell>
          <cell r="B54">
            <v>8.500000000000009</v>
          </cell>
          <cell r="C54">
            <v>10.099999999999993</v>
          </cell>
          <cell r="D54">
            <v>11.800000000000008</v>
          </cell>
          <cell r="E54">
            <v>13.730000000000024</v>
          </cell>
          <cell r="F54">
            <v>17.070000000000014</v>
          </cell>
          <cell r="G54">
            <v>16.349999999999994</v>
          </cell>
          <cell r="H54">
            <v>15.630000000000019</v>
          </cell>
          <cell r="I54">
            <v>14.549999999999978</v>
          </cell>
          <cell r="J54">
            <v>12.70000000000001</v>
          </cell>
          <cell r="K54">
            <v>10.780000000000005</v>
          </cell>
          <cell r="L54">
            <v>9.099999999999978</v>
          </cell>
          <cell r="M54">
            <v>8.079999999999993</v>
          </cell>
          <cell r="N54">
            <v>4517.910000000001</v>
          </cell>
          <cell r="O54">
            <v>12.365833333333335</v>
          </cell>
          <cell r="P54">
            <v>8.89333333333333</v>
          </cell>
          <cell r="Q54">
            <v>4.893333333333331</v>
          </cell>
          <cell r="R54">
            <v>16.35000000000001</v>
          </cell>
          <cell r="S54">
            <v>12.350000000000009</v>
          </cell>
        </row>
        <row r="55">
          <cell r="A55">
            <v>51</v>
          </cell>
          <cell r="B55">
            <v>8.31300000000001</v>
          </cell>
          <cell r="C55">
            <v>10.007999999999992</v>
          </cell>
          <cell r="D55">
            <v>11.788000000000007</v>
          </cell>
          <cell r="E55">
            <v>13.809000000000024</v>
          </cell>
          <cell r="F55">
            <v>17.585000000000015</v>
          </cell>
          <cell r="G55">
            <v>16.596999999999994</v>
          </cell>
          <cell r="H55">
            <v>15.819000000000019</v>
          </cell>
          <cell r="I55">
            <v>14.671999999999978</v>
          </cell>
          <cell r="J55">
            <v>12.73000000000001</v>
          </cell>
          <cell r="K55">
            <v>10.720000000000004</v>
          </cell>
          <cell r="L55">
            <v>8.951999999999979</v>
          </cell>
          <cell r="M55">
            <v>7.861999999999993</v>
          </cell>
          <cell r="N55">
            <v>4532.393000000001</v>
          </cell>
          <cell r="O55">
            <v>12.404583333333335</v>
          </cell>
          <cell r="P55">
            <v>8.727666666666666</v>
          </cell>
          <cell r="Q55">
            <v>4.727666666666666</v>
          </cell>
          <cell r="R55">
            <v>16.66700000000001</v>
          </cell>
          <cell r="S55">
            <v>12.667000000000009</v>
          </cell>
        </row>
        <row r="56">
          <cell r="A56">
            <v>52</v>
          </cell>
          <cell r="B56">
            <v>8.12600000000001</v>
          </cell>
          <cell r="C56">
            <v>9.915999999999991</v>
          </cell>
          <cell r="D56">
            <v>11.776000000000007</v>
          </cell>
          <cell r="E56">
            <v>13.888000000000025</v>
          </cell>
          <cell r="F56">
            <v>18.100000000000016</v>
          </cell>
          <cell r="G56">
            <v>16.843999999999994</v>
          </cell>
          <cell r="H56">
            <v>16.008000000000017</v>
          </cell>
          <cell r="I56">
            <v>14.793999999999977</v>
          </cell>
          <cell r="J56">
            <v>12.760000000000009</v>
          </cell>
          <cell r="K56">
            <v>10.660000000000004</v>
          </cell>
          <cell r="L56">
            <v>8.803999999999979</v>
          </cell>
          <cell r="M56">
            <v>7.643999999999993</v>
          </cell>
          <cell r="N56">
            <v>4546.876</v>
          </cell>
          <cell r="O56">
            <v>12.443333333333335</v>
          </cell>
          <cell r="P56">
            <v>8.561999999999998</v>
          </cell>
          <cell r="Q56">
            <v>4.561999999999998</v>
          </cell>
          <cell r="R56">
            <v>16.98400000000001</v>
          </cell>
          <cell r="S56">
            <v>12.984000000000009</v>
          </cell>
        </row>
        <row r="57">
          <cell r="A57">
            <v>53</v>
          </cell>
          <cell r="B57">
            <v>7.93900000000001</v>
          </cell>
          <cell r="C57">
            <v>9.823999999999991</v>
          </cell>
          <cell r="D57">
            <v>11.764000000000006</v>
          </cell>
          <cell r="E57">
            <v>13.967000000000025</v>
          </cell>
          <cell r="F57">
            <v>18.615000000000016</v>
          </cell>
          <cell r="G57">
            <v>17.090999999999994</v>
          </cell>
          <cell r="H57">
            <v>16.197000000000017</v>
          </cell>
          <cell r="I57">
            <v>14.915999999999977</v>
          </cell>
          <cell r="J57">
            <v>12.790000000000008</v>
          </cell>
          <cell r="K57">
            <v>10.600000000000003</v>
          </cell>
          <cell r="L57">
            <v>8.65599999999998</v>
          </cell>
          <cell r="M57">
            <v>7.425999999999993</v>
          </cell>
          <cell r="N57">
            <v>4561.359</v>
          </cell>
          <cell r="O57">
            <v>12.482083333333335</v>
          </cell>
          <cell r="P57">
            <v>8.396333333333331</v>
          </cell>
          <cell r="Q57">
            <v>4.396333333333331</v>
          </cell>
          <cell r="R57">
            <v>17.30100000000001</v>
          </cell>
          <cell r="S57">
            <v>13.301000000000009</v>
          </cell>
        </row>
        <row r="58">
          <cell r="A58">
            <v>54</v>
          </cell>
          <cell r="B58">
            <v>7.7520000000000095</v>
          </cell>
          <cell r="C58">
            <v>9.73199999999999</v>
          </cell>
          <cell r="D58">
            <v>11.752000000000006</v>
          </cell>
          <cell r="E58">
            <v>14.046000000000026</v>
          </cell>
          <cell r="F58">
            <v>19.130000000000017</v>
          </cell>
          <cell r="G58">
            <v>17.337999999999994</v>
          </cell>
          <cell r="H58">
            <v>16.386000000000017</v>
          </cell>
          <cell r="I58">
            <v>15.037999999999977</v>
          </cell>
          <cell r="J58">
            <v>12.820000000000007</v>
          </cell>
          <cell r="K58">
            <v>10.540000000000003</v>
          </cell>
          <cell r="L58">
            <v>8.50799999999998</v>
          </cell>
          <cell r="M58">
            <v>7.207999999999993</v>
          </cell>
          <cell r="N58">
            <v>4575.842000000001</v>
          </cell>
          <cell r="O58">
            <v>12.520833333333336</v>
          </cell>
          <cell r="P58">
            <v>8.230666666666664</v>
          </cell>
          <cell r="Q58">
            <v>4.230666666666664</v>
          </cell>
          <cell r="R58">
            <v>17.61800000000001</v>
          </cell>
          <cell r="S58">
            <v>13.61800000000001</v>
          </cell>
        </row>
        <row r="59">
          <cell r="A59">
            <v>55</v>
          </cell>
          <cell r="B59">
            <v>7.565000000000009</v>
          </cell>
          <cell r="C59">
            <v>9.63999999999999</v>
          </cell>
          <cell r="D59">
            <v>11.740000000000006</v>
          </cell>
          <cell r="E59">
            <v>14.125000000000027</v>
          </cell>
          <cell r="F59">
            <v>19.645000000000017</v>
          </cell>
          <cell r="G59">
            <v>17.584999999999994</v>
          </cell>
          <cell r="H59">
            <v>16.575000000000017</v>
          </cell>
          <cell r="I59">
            <v>15.159999999999977</v>
          </cell>
          <cell r="J59">
            <v>12.850000000000007</v>
          </cell>
          <cell r="K59">
            <v>10.480000000000002</v>
          </cell>
          <cell r="L59">
            <v>8.35999999999998</v>
          </cell>
          <cell r="M59">
            <v>6.989999999999993</v>
          </cell>
          <cell r="N59">
            <v>4590.325</v>
          </cell>
          <cell r="O59">
            <v>12.559583333333334</v>
          </cell>
          <cell r="P59">
            <v>8.064999999999998</v>
          </cell>
          <cell r="Q59">
            <v>4.064999999999998</v>
          </cell>
          <cell r="R59">
            <v>17.93500000000001</v>
          </cell>
          <cell r="S59">
            <v>13.93500000000001</v>
          </cell>
        </row>
        <row r="60">
          <cell r="A60">
            <v>56</v>
          </cell>
          <cell r="B60">
            <v>7.378000000000009</v>
          </cell>
          <cell r="C60">
            <v>9.54799999999999</v>
          </cell>
          <cell r="D60">
            <v>11.728000000000005</v>
          </cell>
          <cell r="E60">
            <v>14.204000000000027</v>
          </cell>
          <cell r="F60">
            <v>20.160000000000018</v>
          </cell>
          <cell r="G60">
            <v>17.831999999999994</v>
          </cell>
          <cell r="H60">
            <v>16.764000000000017</v>
          </cell>
          <cell r="I60">
            <v>15.281999999999977</v>
          </cell>
          <cell r="J60">
            <v>12.880000000000006</v>
          </cell>
          <cell r="K60">
            <v>10.420000000000002</v>
          </cell>
          <cell r="L60">
            <v>8.21199999999998</v>
          </cell>
          <cell r="M60">
            <v>6.771999999999993</v>
          </cell>
          <cell r="N60">
            <v>4604.808000000001</v>
          </cell>
          <cell r="O60">
            <v>12.598333333333336</v>
          </cell>
          <cell r="P60">
            <v>7.899333333333331</v>
          </cell>
          <cell r="Q60">
            <v>3.899333333333331</v>
          </cell>
          <cell r="R60">
            <v>18.25200000000001</v>
          </cell>
          <cell r="S60">
            <v>14.25200000000001</v>
          </cell>
        </row>
        <row r="61">
          <cell r="A61">
            <v>57</v>
          </cell>
          <cell r="B61">
            <v>7.191000000000009</v>
          </cell>
          <cell r="C61">
            <v>9.455999999999989</v>
          </cell>
          <cell r="D61">
            <v>11.716000000000005</v>
          </cell>
          <cell r="E61">
            <v>14.283000000000028</v>
          </cell>
          <cell r="F61">
            <v>20.67500000000002</v>
          </cell>
          <cell r="G61">
            <v>18.078999999999994</v>
          </cell>
          <cell r="H61">
            <v>16.953000000000017</v>
          </cell>
          <cell r="I61">
            <v>15.403999999999977</v>
          </cell>
          <cell r="J61">
            <v>12.910000000000005</v>
          </cell>
          <cell r="K61">
            <v>10.360000000000001</v>
          </cell>
          <cell r="L61">
            <v>8.06399999999998</v>
          </cell>
          <cell r="M61">
            <v>6.553999999999993</v>
          </cell>
          <cell r="N61">
            <v>4619.291000000001</v>
          </cell>
          <cell r="O61">
            <v>12.637083333333337</v>
          </cell>
          <cell r="P61">
            <v>7.733666666666664</v>
          </cell>
          <cell r="Q61">
            <v>3.7336666666666636</v>
          </cell>
          <cell r="R61">
            <v>18.56900000000001</v>
          </cell>
          <cell r="S61">
            <v>14.56900000000001</v>
          </cell>
        </row>
        <row r="62">
          <cell r="A62">
            <v>58</v>
          </cell>
          <cell r="B62">
            <v>7.004000000000008</v>
          </cell>
          <cell r="C62">
            <v>9.363999999999988</v>
          </cell>
          <cell r="D62">
            <v>11.704000000000004</v>
          </cell>
          <cell r="E62">
            <v>14.362000000000029</v>
          </cell>
          <cell r="F62">
            <v>21.19000000000002</v>
          </cell>
          <cell r="G62">
            <v>18.325999999999993</v>
          </cell>
          <cell r="H62">
            <v>17.142000000000017</v>
          </cell>
          <cell r="I62">
            <v>15.525999999999977</v>
          </cell>
          <cell r="J62">
            <v>12.940000000000005</v>
          </cell>
          <cell r="K62">
            <v>10.3</v>
          </cell>
          <cell r="L62">
            <v>7.915999999999981</v>
          </cell>
          <cell r="M62">
            <v>6.335999999999993</v>
          </cell>
          <cell r="N62">
            <v>4633.774</v>
          </cell>
          <cell r="O62">
            <v>12.675833333333335</v>
          </cell>
          <cell r="P62">
            <v>7.567999999999997</v>
          </cell>
          <cell r="Q62">
            <v>3.567999999999997</v>
          </cell>
          <cell r="R62">
            <v>18.88600000000001</v>
          </cell>
          <cell r="S62">
            <v>14.88600000000001</v>
          </cell>
        </row>
        <row r="63">
          <cell r="A63">
            <v>59</v>
          </cell>
          <cell r="B63">
            <v>6.817000000000008</v>
          </cell>
          <cell r="C63">
            <v>9.271999999999988</v>
          </cell>
          <cell r="D63">
            <v>11.692000000000004</v>
          </cell>
          <cell r="E63">
            <v>14.44100000000003</v>
          </cell>
          <cell r="F63">
            <v>21.70500000000002</v>
          </cell>
          <cell r="G63">
            <v>18.572999999999993</v>
          </cell>
          <cell r="H63">
            <v>17.331000000000017</v>
          </cell>
          <cell r="I63">
            <v>15.647999999999977</v>
          </cell>
          <cell r="J63">
            <v>12.970000000000004</v>
          </cell>
          <cell r="K63">
            <v>10.24</v>
          </cell>
          <cell r="L63">
            <v>7.767999999999981</v>
          </cell>
          <cell r="M63">
            <v>6.117999999999993</v>
          </cell>
          <cell r="N63">
            <v>4648.256999999999</v>
          </cell>
          <cell r="O63">
            <v>12.714583333333335</v>
          </cell>
          <cell r="P63">
            <v>7.40233333333333</v>
          </cell>
          <cell r="Q63">
            <v>3.4023333333333303</v>
          </cell>
          <cell r="R63">
            <v>19.20300000000001</v>
          </cell>
          <cell r="S63">
            <v>15.20300000000001</v>
          </cell>
        </row>
        <row r="64">
          <cell r="A64">
            <v>60</v>
          </cell>
          <cell r="B64">
            <v>6.630000000000008</v>
          </cell>
          <cell r="C64">
            <v>9.179999999999987</v>
          </cell>
          <cell r="D64">
            <v>11.680000000000003</v>
          </cell>
          <cell r="E64">
            <v>14.52000000000003</v>
          </cell>
          <cell r="F64">
            <v>22.22000000000002</v>
          </cell>
          <cell r="G64">
            <v>18.819999999999993</v>
          </cell>
          <cell r="H64">
            <v>17.520000000000017</v>
          </cell>
          <cell r="I64">
            <v>15.769999999999976</v>
          </cell>
          <cell r="J64">
            <v>13.000000000000004</v>
          </cell>
          <cell r="K64">
            <v>10.18</v>
          </cell>
          <cell r="L64">
            <v>7.6199999999999815</v>
          </cell>
          <cell r="M64">
            <v>5.899999999999993</v>
          </cell>
          <cell r="N64">
            <v>4662.740000000001</v>
          </cell>
          <cell r="O64">
            <v>12.753333333333336</v>
          </cell>
          <cell r="P64">
            <v>7.236666666666662</v>
          </cell>
          <cell r="Q64">
            <v>3.236666666666662</v>
          </cell>
          <cell r="R64">
            <v>19.52000000000001</v>
          </cell>
          <cell r="S64">
            <v>15.52000000000001</v>
          </cell>
        </row>
        <row r="65">
          <cell r="A65">
            <v>61</v>
          </cell>
          <cell r="B65">
            <v>5.967000000000008</v>
          </cell>
          <cell r="C65">
            <v>8.994999999999987</v>
          </cell>
          <cell r="D65">
            <v>11.659000000000002</v>
          </cell>
          <cell r="E65">
            <v>14.67800000000003</v>
          </cell>
          <cell r="F65">
            <v>22.39800000000002</v>
          </cell>
          <cell r="G65">
            <v>19.337999999999994</v>
          </cell>
          <cell r="H65">
            <v>18.168000000000017</v>
          </cell>
          <cell r="I65">
            <v>16.035999999999976</v>
          </cell>
          <cell r="J65">
            <v>13.057000000000004</v>
          </cell>
          <cell r="K65">
            <v>10.067</v>
          </cell>
          <cell r="L65">
            <v>7.1679999999999815</v>
          </cell>
          <cell r="M65">
            <v>5.309999999999993</v>
          </cell>
          <cell r="N65">
            <v>4656.845</v>
          </cell>
          <cell r="O65">
            <v>12.736750000000002</v>
          </cell>
          <cell r="P65">
            <v>6.757333333333329</v>
          </cell>
          <cell r="Q65">
            <v>2.757333333333329</v>
          </cell>
          <cell r="R65">
            <v>19.96800000000001</v>
          </cell>
          <cell r="S65">
            <v>15.96800000000001</v>
          </cell>
        </row>
        <row r="66">
          <cell r="A66">
            <v>62</v>
          </cell>
          <cell r="B66">
            <v>5.304000000000007</v>
          </cell>
          <cell r="C66">
            <v>8.809999999999986</v>
          </cell>
          <cell r="D66">
            <v>11.638000000000002</v>
          </cell>
          <cell r="E66">
            <v>14.836000000000029</v>
          </cell>
          <cell r="F66">
            <v>22.576000000000022</v>
          </cell>
          <cell r="G66">
            <v>19.855999999999995</v>
          </cell>
          <cell r="H66">
            <v>18.816000000000017</v>
          </cell>
          <cell r="I66">
            <v>16.30199999999998</v>
          </cell>
          <cell r="J66">
            <v>13.114000000000004</v>
          </cell>
          <cell r="K66">
            <v>9.954</v>
          </cell>
          <cell r="L66">
            <v>6.7159999999999815</v>
          </cell>
          <cell r="M66">
            <v>4.7199999999999935</v>
          </cell>
          <cell r="N66">
            <v>4650.95</v>
          </cell>
          <cell r="O66">
            <v>12.72016666666667</v>
          </cell>
          <cell r="P66">
            <v>6.277999999999996</v>
          </cell>
          <cell r="Q66">
            <v>2.277999999999996</v>
          </cell>
          <cell r="R66">
            <v>20.41600000000001</v>
          </cell>
          <cell r="S66">
            <v>16.41600000000001</v>
          </cell>
        </row>
        <row r="67">
          <cell r="A67">
            <v>63</v>
          </cell>
          <cell r="B67">
            <v>4.641000000000007</v>
          </cell>
          <cell r="C67">
            <v>8.624999999999986</v>
          </cell>
          <cell r="D67">
            <v>11.617</v>
          </cell>
          <cell r="E67">
            <v>14.994000000000028</v>
          </cell>
          <cell r="F67">
            <v>22.754000000000023</v>
          </cell>
          <cell r="G67">
            <v>20.373999999999995</v>
          </cell>
          <cell r="H67">
            <v>19.464000000000016</v>
          </cell>
          <cell r="I67">
            <v>16.567999999999977</v>
          </cell>
          <cell r="J67">
            <v>13.171000000000005</v>
          </cell>
          <cell r="K67">
            <v>9.841000000000001</v>
          </cell>
          <cell r="L67">
            <v>6.263999999999982</v>
          </cell>
          <cell r="M67">
            <v>4.129999999999994</v>
          </cell>
          <cell r="N67">
            <v>4645.055</v>
          </cell>
          <cell r="O67">
            <v>12.703583333333334</v>
          </cell>
          <cell r="P67">
            <v>5.798666666666662</v>
          </cell>
          <cell r="Q67">
            <v>1.7986666666666622</v>
          </cell>
          <cell r="R67">
            <v>20.86400000000001</v>
          </cell>
          <cell r="S67">
            <v>16.86400000000001</v>
          </cell>
        </row>
        <row r="68">
          <cell r="A68">
            <v>64</v>
          </cell>
          <cell r="B68">
            <v>3.978000000000007</v>
          </cell>
          <cell r="C68">
            <v>8.439999999999985</v>
          </cell>
          <cell r="D68">
            <v>11.596</v>
          </cell>
          <cell r="E68">
            <v>15.152000000000028</v>
          </cell>
          <cell r="F68">
            <v>22.932000000000023</v>
          </cell>
          <cell r="G68">
            <v>20.891999999999996</v>
          </cell>
          <cell r="H68">
            <v>20.112000000000016</v>
          </cell>
          <cell r="I68">
            <v>16.833999999999975</v>
          </cell>
          <cell r="J68">
            <v>13.228000000000005</v>
          </cell>
          <cell r="K68">
            <v>9.728000000000002</v>
          </cell>
          <cell r="L68">
            <v>5.811999999999982</v>
          </cell>
          <cell r="M68">
            <v>3.539999999999994</v>
          </cell>
          <cell r="N68">
            <v>4639.160000000001</v>
          </cell>
          <cell r="O68">
            <v>12.687000000000003</v>
          </cell>
          <cell r="P68">
            <v>5.319333333333328</v>
          </cell>
          <cell r="Q68">
            <v>1.3193333333333284</v>
          </cell>
          <cell r="R68">
            <v>21.312000000000012</v>
          </cell>
          <cell r="S68">
            <v>17.312000000000012</v>
          </cell>
        </row>
        <row r="69">
          <cell r="A69">
            <v>65</v>
          </cell>
          <cell r="B69">
            <v>3.3150000000000066</v>
          </cell>
          <cell r="C69">
            <v>8.254999999999985</v>
          </cell>
          <cell r="D69">
            <v>11.575</v>
          </cell>
          <cell r="E69">
            <v>15.310000000000027</v>
          </cell>
          <cell r="F69">
            <v>23.110000000000024</v>
          </cell>
          <cell r="G69">
            <v>21.409999999999997</v>
          </cell>
          <cell r="H69">
            <v>20.760000000000016</v>
          </cell>
          <cell r="I69">
            <v>17.099999999999973</v>
          </cell>
          <cell r="J69">
            <v>13.285000000000005</v>
          </cell>
          <cell r="K69">
            <v>9.615000000000002</v>
          </cell>
          <cell r="L69">
            <v>5.359999999999982</v>
          </cell>
          <cell r="M69">
            <v>2.949999999999994</v>
          </cell>
          <cell r="N69">
            <v>4633.265</v>
          </cell>
          <cell r="O69">
            <v>12.670416666666668</v>
          </cell>
          <cell r="P69">
            <v>4.839999999999995</v>
          </cell>
          <cell r="Q69">
            <v>0.8399999999999954</v>
          </cell>
          <cell r="R69">
            <v>21.76000000000001</v>
          </cell>
          <cell r="S69">
            <v>17.76000000000001</v>
          </cell>
        </row>
        <row r="70">
          <cell r="A70">
            <v>66</v>
          </cell>
          <cell r="B70">
            <v>2.6520000000000064</v>
          </cell>
          <cell r="C70">
            <v>8.069999999999984</v>
          </cell>
          <cell r="D70">
            <v>11.553999999999998</v>
          </cell>
          <cell r="E70">
            <v>15.468000000000027</v>
          </cell>
          <cell r="F70">
            <v>23.288000000000025</v>
          </cell>
          <cell r="G70">
            <v>21.927999999999997</v>
          </cell>
          <cell r="H70">
            <v>21.408000000000015</v>
          </cell>
          <cell r="I70">
            <v>17.36599999999997</v>
          </cell>
          <cell r="J70">
            <v>13.342000000000006</v>
          </cell>
          <cell r="K70">
            <v>9.502000000000002</v>
          </cell>
          <cell r="L70">
            <v>4.907999999999982</v>
          </cell>
          <cell r="M70">
            <v>2.359999999999994</v>
          </cell>
          <cell r="N70">
            <v>4627.370000000001</v>
          </cell>
          <cell r="O70">
            <v>12.653833333333333</v>
          </cell>
          <cell r="P70">
            <v>4.360666666666662</v>
          </cell>
          <cell r="Q70">
            <v>0.3606666666666616</v>
          </cell>
          <cell r="R70">
            <v>22.208000000000013</v>
          </cell>
          <cell r="S70">
            <v>18.208000000000013</v>
          </cell>
        </row>
        <row r="71">
          <cell r="A71">
            <v>67</v>
          </cell>
          <cell r="B71">
            <v>1.9890000000000063</v>
          </cell>
          <cell r="C71">
            <v>7.884999999999985</v>
          </cell>
          <cell r="D71">
            <v>11.532999999999998</v>
          </cell>
          <cell r="E71">
            <v>15.626000000000026</v>
          </cell>
          <cell r="F71">
            <v>23.466000000000026</v>
          </cell>
          <cell r="G71">
            <v>22.445999999999998</v>
          </cell>
          <cell r="H71">
            <v>22.056000000000015</v>
          </cell>
          <cell r="I71">
            <v>17.63199999999997</v>
          </cell>
          <cell r="J71">
            <v>13.399000000000006</v>
          </cell>
          <cell r="K71">
            <v>9.389000000000003</v>
          </cell>
          <cell r="L71">
            <v>4.455999999999982</v>
          </cell>
          <cell r="M71">
            <v>1.769999999999994</v>
          </cell>
          <cell r="N71">
            <v>4621.475</v>
          </cell>
          <cell r="O71">
            <v>12.63725</v>
          </cell>
          <cell r="P71">
            <v>3.881333333333328</v>
          </cell>
          <cell r="Q71">
            <v>-0.1186666666666718</v>
          </cell>
          <cell r="R71">
            <v>22.656000000000017</v>
          </cell>
          <cell r="S71">
            <v>18.656000000000017</v>
          </cell>
        </row>
        <row r="72">
          <cell r="A72">
            <v>68</v>
          </cell>
          <cell r="B72">
            <v>1.3260000000000063</v>
          </cell>
          <cell r="C72">
            <v>7.699999999999985</v>
          </cell>
          <cell r="D72">
            <v>11.511999999999997</v>
          </cell>
          <cell r="E72">
            <v>15.784000000000026</v>
          </cell>
          <cell r="F72">
            <v>23.644000000000027</v>
          </cell>
          <cell r="G72">
            <v>22.964</v>
          </cell>
          <cell r="H72">
            <v>22.704000000000015</v>
          </cell>
          <cell r="I72">
            <v>17.897999999999968</v>
          </cell>
          <cell r="J72">
            <v>13.456000000000007</v>
          </cell>
          <cell r="K72">
            <v>9.276000000000003</v>
          </cell>
          <cell r="L72">
            <v>4.003999999999982</v>
          </cell>
          <cell r="M72">
            <v>1.179999999999994</v>
          </cell>
          <cell r="N72">
            <v>4615.580000000002</v>
          </cell>
          <cell r="O72">
            <v>12.62066666666667</v>
          </cell>
          <cell r="P72">
            <v>3.4019999999999953</v>
          </cell>
          <cell r="Q72">
            <v>-0.5980000000000047</v>
          </cell>
          <cell r="R72">
            <v>23.104000000000013</v>
          </cell>
          <cell r="S72">
            <v>19.104000000000013</v>
          </cell>
        </row>
        <row r="73">
          <cell r="A73">
            <v>69</v>
          </cell>
          <cell r="B73">
            <v>0.6630000000000063</v>
          </cell>
          <cell r="C73">
            <v>7.5149999999999855</v>
          </cell>
          <cell r="D73">
            <v>11.490999999999996</v>
          </cell>
          <cell r="E73">
            <v>15.942000000000025</v>
          </cell>
          <cell r="F73">
            <v>23.822000000000028</v>
          </cell>
          <cell r="G73">
            <v>23.482</v>
          </cell>
          <cell r="H73">
            <v>23.352000000000015</v>
          </cell>
          <cell r="I73">
            <v>18.163999999999966</v>
          </cell>
          <cell r="J73">
            <v>13.513000000000007</v>
          </cell>
          <cell r="K73">
            <v>9.163000000000004</v>
          </cell>
          <cell r="L73">
            <v>3.551999999999982</v>
          </cell>
          <cell r="M73">
            <v>0.5899999999999939</v>
          </cell>
          <cell r="N73">
            <v>4609.685</v>
          </cell>
          <cell r="O73">
            <v>12.604083333333337</v>
          </cell>
          <cell r="P73">
            <v>2.9226666666666623</v>
          </cell>
          <cell r="Q73">
            <v>-1.0773333333333377</v>
          </cell>
          <cell r="R73">
            <v>23.55200000000001</v>
          </cell>
          <cell r="S73">
            <v>19.55200000000001</v>
          </cell>
        </row>
        <row r="74">
          <cell r="A74">
            <v>70</v>
          </cell>
          <cell r="B74">
            <v>6.217248937900877E-15</v>
          </cell>
          <cell r="C74">
            <v>7.329999999999986</v>
          </cell>
          <cell r="D74">
            <v>11.469999999999995</v>
          </cell>
          <cell r="E74">
            <v>16.100000000000026</v>
          </cell>
          <cell r="F74">
            <v>24.00000000000003</v>
          </cell>
          <cell r="G74">
            <v>24</v>
          </cell>
          <cell r="H74">
            <v>24.000000000000014</v>
          </cell>
          <cell r="I74">
            <v>18.429999999999964</v>
          </cell>
          <cell r="J74">
            <v>13.570000000000007</v>
          </cell>
          <cell r="K74">
            <v>9.050000000000004</v>
          </cell>
          <cell r="L74">
            <v>3.099999999999982</v>
          </cell>
          <cell r="M74">
            <v>-6.217248937900877E-15</v>
          </cell>
          <cell r="N74">
            <v>4603.79</v>
          </cell>
          <cell r="O74">
            <v>12.587500000000004</v>
          </cell>
          <cell r="P74">
            <v>2.4433333333333285</v>
          </cell>
          <cell r="Q74">
            <v>-1.5566666666666715</v>
          </cell>
          <cell r="R74">
            <v>24.000000000000014</v>
          </cell>
          <cell r="S74">
            <v>20.000000000000014</v>
          </cell>
        </row>
        <row r="75">
          <cell r="A75">
            <v>71</v>
          </cell>
          <cell r="B75">
            <v>6.217248937900877E-15</v>
          </cell>
          <cell r="C75">
            <v>6.596999999999986</v>
          </cell>
          <cell r="D75">
            <v>11.409999999999995</v>
          </cell>
          <cell r="E75">
            <v>16.890000000000025</v>
          </cell>
          <cell r="F75">
            <v>24.00000000000003</v>
          </cell>
          <cell r="G75">
            <v>24</v>
          </cell>
          <cell r="H75">
            <v>24.000000000000014</v>
          </cell>
          <cell r="I75">
            <v>18.986999999999963</v>
          </cell>
          <cell r="J75">
            <v>13.740000000000007</v>
          </cell>
          <cell r="K75">
            <v>8.662000000000004</v>
          </cell>
          <cell r="L75">
            <v>2.789999999999982</v>
          </cell>
          <cell r="M75">
            <v>-6.217248937900877E-15</v>
          </cell>
          <cell r="N75">
            <v>4606.145</v>
          </cell>
          <cell r="O75">
            <v>12.589666666666668</v>
          </cell>
          <cell r="P75">
            <v>2.1989999999999954</v>
          </cell>
          <cell r="Q75">
            <v>-1.8010000000000046</v>
          </cell>
          <cell r="R75">
            <v>24.000000000000014</v>
          </cell>
          <cell r="S75">
            <v>20.000000000000014</v>
          </cell>
        </row>
        <row r="76">
          <cell r="A76">
            <v>72</v>
          </cell>
          <cell r="B76">
            <v>6.217248937900877E-15</v>
          </cell>
          <cell r="C76">
            <v>5.863999999999987</v>
          </cell>
          <cell r="D76">
            <v>11.349999999999994</v>
          </cell>
          <cell r="E76">
            <v>17.680000000000025</v>
          </cell>
          <cell r="F76">
            <v>24.00000000000003</v>
          </cell>
          <cell r="G76">
            <v>24</v>
          </cell>
          <cell r="H76">
            <v>24.000000000000014</v>
          </cell>
          <cell r="I76">
            <v>19.54399999999996</v>
          </cell>
          <cell r="J76">
            <v>13.910000000000007</v>
          </cell>
          <cell r="K76">
            <v>8.274000000000004</v>
          </cell>
          <cell r="L76">
            <v>2.4799999999999818</v>
          </cell>
          <cell r="M76">
            <v>-6.217248937900877E-15</v>
          </cell>
          <cell r="N76">
            <v>4608.5</v>
          </cell>
          <cell r="O76">
            <v>12.591833333333334</v>
          </cell>
          <cell r="P76">
            <v>1.9546666666666621</v>
          </cell>
          <cell r="Q76">
            <v>-2.045333333333338</v>
          </cell>
          <cell r="R76">
            <v>24.000000000000014</v>
          </cell>
          <cell r="S76">
            <v>20.000000000000014</v>
          </cell>
        </row>
        <row r="77">
          <cell r="A77">
            <v>73</v>
          </cell>
          <cell r="B77">
            <v>6.217248937900877E-15</v>
          </cell>
          <cell r="C77">
            <v>5.130999999999987</v>
          </cell>
          <cell r="D77">
            <v>11.289999999999994</v>
          </cell>
          <cell r="E77">
            <v>18.470000000000024</v>
          </cell>
          <cell r="F77">
            <v>24.00000000000003</v>
          </cell>
          <cell r="G77">
            <v>24</v>
          </cell>
          <cell r="H77">
            <v>24.000000000000014</v>
          </cell>
          <cell r="I77">
            <v>20.10099999999996</v>
          </cell>
          <cell r="J77">
            <v>14.080000000000007</v>
          </cell>
          <cell r="K77">
            <v>7.886000000000005</v>
          </cell>
          <cell r="L77">
            <v>2.1699999999999817</v>
          </cell>
          <cell r="M77">
            <v>-6.217248937900877E-15</v>
          </cell>
          <cell r="N77">
            <v>4610.8550000000005</v>
          </cell>
          <cell r="O77">
            <v>12.594</v>
          </cell>
          <cell r="P77">
            <v>1.710333333333329</v>
          </cell>
          <cell r="Q77">
            <v>-2.2896666666666707</v>
          </cell>
          <cell r="R77">
            <v>24.000000000000014</v>
          </cell>
          <cell r="S77">
            <v>20.000000000000014</v>
          </cell>
        </row>
        <row r="78">
          <cell r="A78">
            <v>74</v>
          </cell>
          <cell r="B78">
            <v>6.217248937900877E-15</v>
          </cell>
          <cell r="C78">
            <v>4.397999999999987</v>
          </cell>
          <cell r="D78">
            <v>11.229999999999993</v>
          </cell>
          <cell r="E78">
            <v>19.260000000000023</v>
          </cell>
          <cell r="F78">
            <v>24.00000000000003</v>
          </cell>
          <cell r="G78">
            <v>24</v>
          </cell>
          <cell r="H78">
            <v>24.000000000000014</v>
          </cell>
          <cell r="I78">
            <v>20.65799999999996</v>
          </cell>
          <cell r="J78">
            <v>14.250000000000007</v>
          </cell>
          <cell r="K78">
            <v>7.498000000000005</v>
          </cell>
          <cell r="L78">
            <v>1.8599999999999817</v>
          </cell>
          <cell r="M78">
            <v>-6.217248937900877E-15</v>
          </cell>
          <cell r="N78">
            <v>4613.21</v>
          </cell>
          <cell r="O78">
            <v>12.596166666666669</v>
          </cell>
          <cell r="P78">
            <v>1.4659999999999958</v>
          </cell>
          <cell r="Q78">
            <v>-2.5340000000000042</v>
          </cell>
          <cell r="R78">
            <v>24.000000000000014</v>
          </cell>
          <cell r="S78">
            <v>20.000000000000014</v>
          </cell>
        </row>
        <row r="79">
          <cell r="A79">
            <v>75</v>
          </cell>
          <cell r="B79">
            <v>6.217248937900877E-15</v>
          </cell>
          <cell r="C79">
            <v>3.664999999999987</v>
          </cell>
          <cell r="D79">
            <v>11.169999999999993</v>
          </cell>
          <cell r="E79">
            <v>20.050000000000022</v>
          </cell>
          <cell r="F79">
            <v>24.00000000000003</v>
          </cell>
          <cell r="G79">
            <v>24</v>
          </cell>
          <cell r="H79">
            <v>24.000000000000014</v>
          </cell>
          <cell r="I79">
            <v>21.214999999999957</v>
          </cell>
          <cell r="J79">
            <v>14.420000000000007</v>
          </cell>
          <cell r="K79">
            <v>7.110000000000005</v>
          </cell>
          <cell r="L79">
            <v>1.5499999999999816</v>
          </cell>
          <cell r="M79">
            <v>-6.217248937900877E-15</v>
          </cell>
          <cell r="N79">
            <v>4615.565</v>
          </cell>
          <cell r="O79">
            <v>12.598333333333334</v>
          </cell>
          <cell r="P79">
            <v>1.2216666666666625</v>
          </cell>
          <cell r="Q79">
            <v>-2.7783333333333378</v>
          </cell>
          <cell r="R79">
            <v>24.000000000000014</v>
          </cell>
          <cell r="S79">
            <v>20.000000000000014</v>
          </cell>
        </row>
        <row r="80">
          <cell r="A80">
            <v>76</v>
          </cell>
          <cell r="B80">
            <v>6.217248937900877E-15</v>
          </cell>
          <cell r="C80">
            <v>2.931999999999987</v>
          </cell>
          <cell r="D80">
            <v>11.109999999999992</v>
          </cell>
          <cell r="E80">
            <v>20.84000000000002</v>
          </cell>
          <cell r="F80">
            <v>24.00000000000003</v>
          </cell>
          <cell r="G80">
            <v>24</v>
          </cell>
          <cell r="H80">
            <v>24.000000000000014</v>
          </cell>
          <cell r="I80">
            <v>21.771999999999956</v>
          </cell>
          <cell r="J80">
            <v>14.590000000000007</v>
          </cell>
          <cell r="K80">
            <v>6.722000000000005</v>
          </cell>
          <cell r="L80">
            <v>1.2399999999999816</v>
          </cell>
          <cell r="M80">
            <v>-6.217248937900877E-15</v>
          </cell>
          <cell r="N80">
            <v>4617.92</v>
          </cell>
          <cell r="O80">
            <v>12.600499999999998</v>
          </cell>
          <cell r="P80">
            <v>0.9773333333333291</v>
          </cell>
          <cell r="Q80">
            <v>-3.022666666666671</v>
          </cell>
          <cell r="R80">
            <v>24.000000000000014</v>
          </cell>
          <cell r="S80">
            <v>20.000000000000014</v>
          </cell>
        </row>
        <row r="81">
          <cell r="A81">
            <v>77</v>
          </cell>
          <cell r="B81">
            <v>6.217248937900877E-15</v>
          </cell>
          <cell r="C81">
            <v>2.198999999999987</v>
          </cell>
          <cell r="D81">
            <v>11.049999999999992</v>
          </cell>
          <cell r="E81">
            <v>21.63000000000002</v>
          </cell>
          <cell r="F81">
            <v>24.00000000000003</v>
          </cell>
          <cell r="G81">
            <v>24</v>
          </cell>
          <cell r="H81">
            <v>24.000000000000014</v>
          </cell>
          <cell r="I81">
            <v>22.328999999999954</v>
          </cell>
          <cell r="J81">
            <v>14.760000000000007</v>
          </cell>
          <cell r="K81">
            <v>6.334000000000005</v>
          </cell>
          <cell r="L81">
            <v>0.9299999999999815</v>
          </cell>
          <cell r="M81">
            <v>-6.217248937900877E-15</v>
          </cell>
          <cell r="N81">
            <v>4620.275000000001</v>
          </cell>
          <cell r="O81">
            <v>12.602666666666666</v>
          </cell>
          <cell r="P81">
            <v>0.7329999999999957</v>
          </cell>
          <cell r="Q81">
            <v>-3.2670000000000043</v>
          </cell>
          <cell r="R81">
            <v>24.000000000000014</v>
          </cell>
          <cell r="S81">
            <v>20.000000000000014</v>
          </cell>
        </row>
        <row r="82">
          <cell r="A82">
            <v>78</v>
          </cell>
          <cell r="B82">
            <v>6.217248937900877E-15</v>
          </cell>
          <cell r="C82">
            <v>1.4659999999999869</v>
          </cell>
          <cell r="D82">
            <v>10.989999999999991</v>
          </cell>
          <cell r="E82">
            <v>22.42000000000002</v>
          </cell>
          <cell r="F82">
            <v>24.00000000000003</v>
          </cell>
          <cell r="G82">
            <v>24</v>
          </cell>
          <cell r="H82">
            <v>24.000000000000014</v>
          </cell>
          <cell r="I82">
            <v>22.885999999999953</v>
          </cell>
          <cell r="J82">
            <v>14.930000000000007</v>
          </cell>
          <cell r="K82">
            <v>5.946000000000005</v>
          </cell>
          <cell r="L82">
            <v>0.6199999999999815</v>
          </cell>
          <cell r="M82">
            <v>-6.217248937900877E-15</v>
          </cell>
          <cell r="N82">
            <v>4622.63</v>
          </cell>
          <cell r="O82">
            <v>12.604833333333332</v>
          </cell>
          <cell r="P82">
            <v>0.4886666666666623</v>
          </cell>
          <cell r="Q82">
            <v>-3.511333333333338</v>
          </cell>
          <cell r="R82">
            <v>24.000000000000014</v>
          </cell>
          <cell r="S82">
            <v>20.000000000000014</v>
          </cell>
        </row>
        <row r="83">
          <cell r="A83">
            <v>79</v>
          </cell>
          <cell r="B83">
            <v>6.217248937900877E-15</v>
          </cell>
          <cell r="C83">
            <v>0.7329999999999869</v>
          </cell>
          <cell r="D83">
            <v>10.92999999999999</v>
          </cell>
          <cell r="E83">
            <v>23.21000000000002</v>
          </cell>
          <cell r="F83">
            <v>24.00000000000003</v>
          </cell>
          <cell r="G83">
            <v>24</v>
          </cell>
          <cell r="H83">
            <v>24.000000000000014</v>
          </cell>
          <cell r="I83">
            <v>23.44299999999995</v>
          </cell>
          <cell r="J83">
            <v>15.100000000000007</v>
          </cell>
          <cell r="K83">
            <v>5.558000000000005</v>
          </cell>
          <cell r="L83">
            <v>0.30999999999998146</v>
          </cell>
          <cell r="M83">
            <v>-6.217248937900877E-15</v>
          </cell>
          <cell r="N83">
            <v>4624.984999999999</v>
          </cell>
          <cell r="O83">
            <v>12.606999999999998</v>
          </cell>
          <cell r="P83">
            <v>0.24433333333332896</v>
          </cell>
          <cell r="Q83">
            <v>-3.755666666666671</v>
          </cell>
          <cell r="R83">
            <v>24.000000000000014</v>
          </cell>
          <cell r="S83">
            <v>20.000000000000014</v>
          </cell>
        </row>
        <row r="84">
          <cell r="A84">
            <v>80</v>
          </cell>
          <cell r="B84">
            <v>6.217248937900877E-15</v>
          </cell>
          <cell r="C84">
            <v>-1.3100631690576847E-14</v>
          </cell>
          <cell r="D84">
            <v>10.86999999999999</v>
          </cell>
          <cell r="E84">
            <v>24.000000000000018</v>
          </cell>
          <cell r="F84">
            <v>24.00000000000003</v>
          </cell>
          <cell r="G84">
            <v>24</v>
          </cell>
          <cell r="H84">
            <v>24.000000000000014</v>
          </cell>
          <cell r="I84">
            <v>23.99999999999995</v>
          </cell>
          <cell r="J84">
            <v>15.270000000000007</v>
          </cell>
          <cell r="K84">
            <v>5.170000000000005</v>
          </cell>
          <cell r="L84">
            <v>-1.8540724511240114E-14</v>
          </cell>
          <cell r="M84">
            <v>-6.217248937900877E-15</v>
          </cell>
          <cell r="N84">
            <v>4627.34</v>
          </cell>
          <cell r="O84">
            <v>12.609166666666667</v>
          </cell>
          <cell r="P84">
            <v>-4.366877230192283E-15</v>
          </cell>
          <cell r="Q84">
            <v>-4.000000000000004</v>
          </cell>
          <cell r="R84">
            <v>24.000000000000014</v>
          </cell>
          <cell r="S84">
            <v>20.000000000000014</v>
          </cell>
        </row>
        <row r="85">
          <cell r="A85">
            <v>81</v>
          </cell>
          <cell r="B85">
            <v>6.217248937900877E-15</v>
          </cell>
          <cell r="C85">
            <v>-1.3100631690576847E-14</v>
          </cell>
          <cell r="D85">
            <v>9.78299999999999</v>
          </cell>
          <cell r="E85">
            <v>24.000000000000018</v>
          </cell>
          <cell r="F85">
            <v>24.00000000000003</v>
          </cell>
          <cell r="G85">
            <v>24</v>
          </cell>
          <cell r="H85">
            <v>24.000000000000014</v>
          </cell>
          <cell r="I85">
            <v>23.99999999999995</v>
          </cell>
          <cell r="J85">
            <v>16.143000000000008</v>
          </cell>
          <cell r="K85">
            <v>4.653000000000005</v>
          </cell>
          <cell r="L85">
            <v>-1.8540724511240114E-14</v>
          </cell>
          <cell r="M85">
            <v>-6.217248937900877E-15</v>
          </cell>
          <cell r="N85">
            <v>4603.806</v>
          </cell>
          <cell r="O85">
            <v>12.548249999999996</v>
          </cell>
          <cell r="P85">
            <v>-4.366877230192283E-15</v>
          </cell>
          <cell r="Q85">
            <v>-4.000000000000004</v>
          </cell>
          <cell r="R85">
            <v>24.000000000000014</v>
          </cell>
          <cell r="S85">
            <v>20.000000000000014</v>
          </cell>
        </row>
        <row r="86">
          <cell r="A86">
            <v>82</v>
          </cell>
          <cell r="B86">
            <v>6.217248937900877E-15</v>
          </cell>
          <cell r="C86">
            <v>-1.3100631690576847E-14</v>
          </cell>
          <cell r="D86">
            <v>8.69599999999999</v>
          </cell>
          <cell r="E86">
            <v>24.000000000000018</v>
          </cell>
          <cell r="F86">
            <v>24.00000000000003</v>
          </cell>
          <cell r="G86">
            <v>24</v>
          </cell>
          <cell r="H86">
            <v>24.000000000000014</v>
          </cell>
          <cell r="I86">
            <v>23.99999999999995</v>
          </cell>
          <cell r="J86">
            <v>17.01600000000001</v>
          </cell>
          <cell r="K86">
            <v>4.136000000000005</v>
          </cell>
          <cell r="L86">
            <v>-1.8540724511240114E-14</v>
          </cell>
          <cell r="M86">
            <v>-6.217248937900877E-15</v>
          </cell>
          <cell r="N86">
            <v>4580.272</v>
          </cell>
          <cell r="O86">
            <v>12.487333333333332</v>
          </cell>
          <cell r="P86">
            <v>-4.366877230192283E-15</v>
          </cell>
          <cell r="Q86">
            <v>-4.000000000000004</v>
          </cell>
          <cell r="R86">
            <v>24.000000000000014</v>
          </cell>
          <cell r="S86">
            <v>20.000000000000014</v>
          </cell>
        </row>
        <row r="87">
          <cell r="A87">
            <v>83</v>
          </cell>
          <cell r="B87">
            <v>6.217248937900877E-15</v>
          </cell>
          <cell r="C87">
            <v>-1.3100631690576847E-14</v>
          </cell>
          <cell r="D87">
            <v>7.608999999999991</v>
          </cell>
          <cell r="E87">
            <v>24.000000000000018</v>
          </cell>
          <cell r="F87">
            <v>24.00000000000003</v>
          </cell>
          <cell r="G87">
            <v>24</v>
          </cell>
          <cell r="H87">
            <v>24.000000000000014</v>
          </cell>
          <cell r="I87">
            <v>23.99999999999995</v>
          </cell>
          <cell r="J87">
            <v>17.88900000000001</v>
          </cell>
          <cell r="K87">
            <v>3.6190000000000047</v>
          </cell>
          <cell r="L87">
            <v>-1.8540724511240114E-14</v>
          </cell>
          <cell r="M87">
            <v>-6.217248937900877E-15</v>
          </cell>
          <cell r="N87">
            <v>4556.737999999999</v>
          </cell>
          <cell r="O87">
            <v>12.426416666666666</v>
          </cell>
          <cell r="P87">
            <v>-4.366877230192283E-15</v>
          </cell>
          <cell r="Q87">
            <v>-4.000000000000004</v>
          </cell>
          <cell r="R87">
            <v>24.000000000000014</v>
          </cell>
          <cell r="S87">
            <v>20.000000000000014</v>
          </cell>
        </row>
        <row r="88">
          <cell r="A88">
            <v>84</v>
          </cell>
          <cell r="B88">
            <v>6.217248937900877E-15</v>
          </cell>
          <cell r="C88">
            <v>-1.3100631690576847E-14</v>
          </cell>
          <cell r="D88">
            <v>6.521999999999991</v>
          </cell>
          <cell r="E88">
            <v>24.000000000000018</v>
          </cell>
          <cell r="F88">
            <v>24.00000000000003</v>
          </cell>
          <cell r="G88">
            <v>24</v>
          </cell>
          <cell r="H88">
            <v>24.000000000000014</v>
          </cell>
          <cell r="I88">
            <v>23.99999999999995</v>
          </cell>
          <cell r="J88">
            <v>18.76200000000001</v>
          </cell>
          <cell r="K88">
            <v>3.1020000000000048</v>
          </cell>
          <cell r="L88">
            <v>-1.8540724511240114E-14</v>
          </cell>
          <cell r="M88">
            <v>-6.217248937900877E-15</v>
          </cell>
          <cell r="N88">
            <v>4533.204</v>
          </cell>
          <cell r="O88">
            <v>12.365499999999997</v>
          </cell>
          <cell r="P88">
            <v>-4.366877230192283E-15</v>
          </cell>
          <cell r="Q88">
            <v>-4.000000000000004</v>
          </cell>
          <cell r="R88">
            <v>24.000000000000014</v>
          </cell>
          <cell r="S88">
            <v>20.000000000000014</v>
          </cell>
        </row>
        <row r="89">
          <cell r="A89">
            <v>85</v>
          </cell>
          <cell r="B89">
            <v>6.217248937900877E-15</v>
          </cell>
          <cell r="C89">
            <v>-1.3100631690576847E-14</v>
          </cell>
          <cell r="D89">
            <v>5.434999999999992</v>
          </cell>
          <cell r="E89">
            <v>24.000000000000018</v>
          </cell>
          <cell r="F89">
            <v>24.00000000000003</v>
          </cell>
          <cell r="G89">
            <v>24</v>
          </cell>
          <cell r="H89">
            <v>24.000000000000014</v>
          </cell>
          <cell r="I89">
            <v>23.99999999999995</v>
          </cell>
          <cell r="J89">
            <v>19.635000000000012</v>
          </cell>
          <cell r="K89">
            <v>2.585000000000005</v>
          </cell>
          <cell r="L89">
            <v>-1.8540724511240114E-14</v>
          </cell>
          <cell r="M89">
            <v>-6.217248937900877E-15</v>
          </cell>
          <cell r="N89">
            <v>4509.669999999999</v>
          </cell>
          <cell r="O89">
            <v>12.304583333333333</v>
          </cell>
          <cell r="P89">
            <v>-4.366877230192283E-15</v>
          </cell>
          <cell r="Q89">
            <v>-4.000000000000004</v>
          </cell>
          <cell r="R89">
            <v>24.000000000000014</v>
          </cell>
          <cell r="S89">
            <v>20.000000000000014</v>
          </cell>
        </row>
        <row r="90">
          <cell r="A90">
            <v>86</v>
          </cell>
          <cell r="B90">
            <v>6.217248937900877E-15</v>
          </cell>
          <cell r="C90">
            <v>-1.3100631690576847E-14</v>
          </cell>
          <cell r="D90">
            <v>4.347999999999992</v>
          </cell>
          <cell r="E90">
            <v>24.000000000000018</v>
          </cell>
          <cell r="F90">
            <v>24.00000000000003</v>
          </cell>
          <cell r="G90">
            <v>24</v>
          </cell>
          <cell r="H90">
            <v>24.000000000000014</v>
          </cell>
          <cell r="I90">
            <v>23.99999999999995</v>
          </cell>
          <cell r="J90">
            <v>20.508000000000013</v>
          </cell>
          <cell r="K90">
            <v>2.068000000000005</v>
          </cell>
          <cell r="L90">
            <v>-1.8540724511240114E-14</v>
          </cell>
          <cell r="M90">
            <v>-6.217248937900877E-15</v>
          </cell>
          <cell r="N90">
            <v>4486.1359999999995</v>
          </cell>
          <cell r="O90">
            <v>12.243666666666664</v>
          </cell>
          <cell r="P90">
            <v>-4.366877230192283E-15</v>
          </cell>
          <cell r="Q90">
            <v>-4.000000000000004</v>
          </cell>
          <cell r="R90">
            <v>24.000000000000014</v>
          </cell>
          <cell r="S90">
            <v>20.000000000000014</v>
          </cell>
        </row>
        <row r="91">
          <cell r="A91">
            <v>87</v>
          </cell>
          <cell r="B91">
            <v>6.217248937900877E-15</v>
          </cell>
          <cell r="C91">
            <v>-1.3100631690576847E-14</v>
          </cell>
          <cell r="D91">
            <v>3.260999999999992</v>
          </cell>
          <cell r="E91">
            <v>24.000000000000018</v>
          </cell>
          <cell r="F91">
            <v>24.00000000000003</v>
          </cell>
          <cell r="G91">
            <v>24</v>
          </cell>
          <cell r="H91">
            <v>24.000000000000014</v>
          </cell>
          <cell r="I91">
            <v>23.99999999999995</v>
          </cell>
          <cell r="J91">
            <v>21.381000000000014</v>
          </cell>
          <cell r="K91">
            <v>1.551000000000005</v>
          </cell>
          <cell r="L91">
            <v>-1.8540724511240114E-14</v>
          </cell>
          <cell r="M91">
            <v>-6.217248937900877E-15</v>
          </cell>
          <cell r="N91">
            <v>4462.602</v>
          </cell>
          <cell r="O91">
            <v>12.182749999999999</v>
          </cell>
          <cell r="P91">
            <v>-4.366877230192283E-15</v>
          </cell>
          <cell r="Q91">
            <v>-4.000000000000004</v>
          </cell>
          <cell r="R91">
            <v>24.000000000000014</v>
          </cell>
          <cell r="S91">
            <v>20.000000000000014</v>
          </cell>
        </row>
        <row r="92">
          <cell r="A92">
            <v>88</v>
          </cell>
          <cell r="B92">
            <v>6.217248937900877E-15</v>
          </cell>
          <cell r="C92">
            <v>-1.3100631690576847E-14</v>
          </cell>
          <cell r="D92">
            <v>2.1739999999999924</v>
          </cell>
          <cell r="E92">
            <v>24.000000000000018</v>
          </cell>
          <cell r="F92">
            <v>24.00000000000003</v>
          </cell>
          <cell r="G92">
            <v>24</v>
          </cell>
          <cell r="H92">
            <v>24.000000000000014</v>
          </cell>
          <cell r="I92">
            <v>23.99999999999995</v>
          </cell>
          <cell r="J92">
            <v>22.254000000000016</v>
          </cell>
          <cell r="K92">
            <v>1.0340000000000051</v>
          </cell>
          <cell r="L92">
            <v>-1.8540724511240114E-14</v>
          </cell>
          <cell r="M92">
            <v>-6.217248937900877E-15</v>
          </cell>
          <cell r="N92">
            <v>4439.068</v>
          </cell>
          <cell r="O92">
            <v>12.121833333333333</v>
          </cell>
          <cell r="P92">
            <v>-4.366877230192283E-15</v>
          </cell>
          <cell r="Q92">
            <v>-4.000000000000004</v>
          </cell>
          <cell r="R92">
            <v>24.000000000000014</v>
          </cell>
          <cell r="S92">
            <v>20.000000000000014</v>
          </cell>
        </row>
        <row r="93">
          <cell r="A93">
            <v>89</v>
          </cell>
          <cell r="B93">
            <v>6.217248937900877E-15</v>
          </cell>
          <cell r="C93">
            <v>-1.3100631690576847E-14</v>
          </cell>
          <cell r="D93">
            <v>1.0869999999999924</v>
          </cell>
          <cell r="E93">
            <v>24.000000000000018</v>
          </cell>
          <cell r="F93">
            <v>24.00000000000003</v>
          </cell>
          <cell r="G93">
            <v>24</v>
          </cell>
          <cell r="H93">
            <v>24.000000000000014</v>
          </cell>
          <cell r="I93">
            <v>23.99999999999995</v>
          </cell>
          <cell r="J93">
            <v>23.127000000000017</v>
          </cell>
          <cell r="K93">
            <v>0.5170000000000051</v>
          </cell>
          <cell r="L93">
            <v>-1.8540724511240114E-14</v>
          </cell>
          <cell r="M93">
            <v>-6.217248937900877E-15</v>
          </cell>
          <cell r="N93">
            <v>4415.534</v>
          </cell>
          <cell r="O93">
            <v>12.060916666666664</v>
          </cell>
          <cell r="P93">
            <v>-4.366877230192283E-15</v>
          </cell>
          <cell r="Q93">
            <v>-4.000000000000004</v>
          </cell>
          <cell r="R93">
            <v>24.000000000000014</v>
          </cell>
          <cell r="S93">
            <v>20.000000000000014</v>
          </cell>
        </row>
        <row r="94">
          <cell r="A94">
            <v>90</v>
          </cell>
          <cell r="B94">
            <v>6.217248937900877E-15</v>
          </cell>
          <cell r="C94">
            <v>-1.3100631690576847E-14</v>
          </cell>
          <cell r="D94">
            <v>-7.549516567451064E-15</v>
          </cell>
          <cell r="E94">
            <v>24.000000000000018</v>
          </cell>
          <cell r="F94">
            <v>24.00000000000003</v>
          </cell>
          <cell r="G94">
            <v>24</v>
          </cell>
          <cell r="H94">
            <v>24.000000000000014</v>
          </cell>
          <cell r="I94">
            <v>23.99999999999995</v>
          </cell>
          <cell r="J94">
            <v>24.000000000000018</v>
          </cell>
          <cell r="K94">
            <v>5.10702591327572E-15</v>
          </cell>
          <cell r="L94">
            <v>-1.8540724511240114E-14</v>
          </cell>
          <cell r="M94">
            <v>-6.217248937900877E-15</v>
          </cell>
          <cell r="N94">
            <v>4392</v>
          </cell>
          <cell r="O94">
            <v>12</v>
          </cell>
          <cell r="P94">
            <v>-4.366877230192283E-15</v>
          </cell>
          <cell r="Q94">
            <v>-4.000000000000004</v>
          </cell>
          <cell r="R94">
            <v>24.000000000000014</v>
          </cell>
          <cell r="S94">
            <v>20.000000000000014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50" zoomScaleNormal="50" zoomScalePageLayoutView="0" workbookViewId="0" topLeftCell="A1">
      <selection activeCell="E10" sqref="E10"/>
    </sheetView>
  </sheetViews>
  <sheetFormatPr defaultColWidth="9.140625" defaultRowHeight="15"/>
  <cols>
    <col min="1" max="1" width="5.7109375" style="1" customWidth="1"/>
    <col min="2" max="2" width="42.28125" style="1" customWidth="1"/>
    <col min="3" max="3" width="30.140625" style="1" customWidth="1"/>
    <col min="4" max="4" width="6.421875" style="1" customWidth="1"/>
    <col min="5" max="5" width="5.421875" style="1" customWidth="1"/>
    <col min="6" max="6" width="49.28125" style="1" customWidth="1"/>
    <col min="7" max="7" width="21.28125" style="1" customWidth="1"/>
    <col min="8" max="8" width="21.7109375" style="1" customWidth="1"/>
    <col min="9" max="9" width="32.140625" style="1" customWidth="1"/>
    <col min="10" max="10" width="41.00390625" style="1" bestFit="1" customWidth="1"/>
    <col min="11" max="11" width="12.7109375" style="1" bestFit="1" customWidth="1"/>
    <col min="12" max="14" width="9.140625" style="1" customWidth="1"/>
    <col min="15" max="15" width="36.28125" style="1" customWidth="1"/>
    <col min="16" max="16" width="24.8515625" style="1" customWidth="1"/>
    <col min="17" max="17" width="23.00390625" style="240" customWidth="1"/>
    <col min="18" max="16384" width="9.140625" style="1" customWidth="1"/>
  </cols>
  <sheetData>
    <row r="1" spans="1:11" ht="15.75" thickBot="1">
      <c r="A1" s="96"/>
      <c r="B1" s="242" t="s">
        <v>282</v>
      </c>
      <c r="C1" s="77"/>
      <c r="D1" s="77"/>
      <c r="E1" s="77"/>
      <c r="F1" s="48" t="s">
        <v>281</v>
      </c>
      <c r="G1" s="77"/>
      <c r="J1" s="243" t="s">
        <v>49</v>
      </c>
      <c r="K1" s="45"/>
    </row>
    <row r="2" spans="1:11" ht="15">
      <c r="A2" s="96"/>
      <c r="B2" s="181" t="s">
        <v>274</v>
      </c>
      <c r="C2" s="167">
        <v>40</v>
      </c>
      <c r="D2" s="77"/>
      <c r="E2" s="77"/>
      <c r="F2" s="228" t="s">
        <v>264</v>
      </c>
      <c r="G2" s="168">
        <f>VLOOKUP(ABS(C2),sunlight,14)</f>
        <v>4488.389999999999</v>
      </c>
      <c r="J2" s="212" t="s">
        <v>34</v>
      </c>
      <c r="K2" s="213">
        <v>1000</v>
      </c>
    </row>
    <row r="3" spans="1:11" ht="15">
      <c r="A3" s="96"/>
      <c r="B3" s="249" t="str">
        <f>IF(ABS(C2)&gt;90,"Please enter a value between -90 and 90",IF(ABS(C2)&lt;-90,"Please enter a value between -90 and 90","Input Recognized"))</f>
        <v>Input Recognized</v>
      </c>
      <c r="C3" s="250"/>
      <c r="D3" s="77"/>
      <c r="E3" s="77"/>
      <c r="F3" s="229" t="s">
        <v>266</v>
      </c>
      <c r="G3" s="171">
        <f>VLOOKUP(ABS(C2),sunlight,15)</f>
        <v>3028.3899999999994</v>
      </c>
      <c r="J3" s="214" t="s">
        <v>26</v>
      </c>
      <c r="K3" s="215">
        <v>1000</v>
      </c>
    </row>
    <row r="4" spans="1:11" ht="15">
      <c r="A4" s="96"/>
      <c r="B4" s="182" t="s">
        <v>275</v>
      </c>
      <c r="C4" s="103">
        <v>64</v>
      </c>
      <c r="D4" s="77"/>
      <c r="E4" s="77"/>
      <c r="F4" s="229" t="s">
        <v>278</v>
      </c>
      <c r="G4" s="169">
        <f>C4/daysyear</f>
        <v>0.17534246575342466</v>
      </c>
      <c r="J4" s="214" t="s">
        <v>27</v>
      </c>
      <c r="K4" s="215">
        <v>1000</v>
      </c>
    </row>
    <row r="5" spans="1:11" ht="15">
      <c r="A5" s="96"/>
      <c r="B5" s="182" t="s">
        <v>276</v>
      </c>
      <c r="C5" s="103">
        <v>128</v>
      </c>
      <c r="D5" s="77"/>
      <c r="E5" s="77"/>
      <c r="F5" s="229" t="s">
        <v>279</v>
      </c>
      <c r="G5" s="169">
        <f>C5/daysyear</f>
        <v>0.3506849315068493</v>
      </c>
      <c r="J5" s="214" t="s">
        <v>28</v>
      </c>
      <c r="K5" s="215">
        <v>1000</v>
      </c>
    </row>
    <row r="6" spans="1:11" ht="15.75" thickBot="1">
      <c r="A6" s="96"/>
      <c r="B6" s="247" t="s">
        <v>277</v>
      </c>
      <c r="C6" s="248">
        <v>173</v>
      </c>
      <c r="D6" s="77"/>
      <c r="E6" s="77"/>
      <c r="F6" s="230" t="s">
        <v>280</v>
      </c>
      <c r="G6" s="170">
        <f>C6/daysyear</f>
        <v>0.473972602739726</v>
      </c>
      <c r="J6" s="214" t="s">
        <v>1</v>
      </c>
      <c r="K6" s="215">
        <v>1000</v>
      </c>
    </row>
    <row r="7" spans="1:11" ht="15.75" thickBot="1">
      <c r="A7" s="244"/>
      <c r="B7" s="245">
        <f>SUM(C4,C5,C6,)</f>
        <v>365</v>
      </c>
      <c r="C7" s="246" t="str">
        <f>IF(SUM(C4:C6)=365,"Input Recognized","Sum of days must add to 365")</f>
        <v>Input Recognized</v>
      </c>
      <c r="E7" s="77"/>
      <c r="F7" s="77"/>
      <c r="J7" s="214" t="s">
        <v>127</v>
      </c>
      <c r="K7" s="215">
        <v>1000</v>
      </c>
    </row>
    <row r="8" spans="1:11" ht="15.75" thickBot="1">
      <c r="A8" s="96"/>
      <c r="B8" s="242" t="s">
        <v>283</v>
      </c>
      <c r="C8" s="77"/>
      <c r="D8" s="77"/>
      <c r="E8" s="77"/>
      <c r="F8" s="241" t="s">
        <v>232</v>
      </c>
      <c r="G8" s="77"/>
      <c r="J8" s="214" t="s">
        <v>2</v>
      </c>
      <c r="K8" s="215">
        <v>8.34</v>
      </c>
    </row>
    <row r="9" spans="1:11" ht="15.75" thickBot="1">
      <c r="A9" s="96"/>
      <c r="B9" s="181" t="s">
        <v>113</v>
      </c>
      <c r="C9" s="101">
        <v>3</v>
      </c>
      <c r="D9" s="77"/>
      <c r="E9" s="77"/>
      <c r="F9" s="233" t="s">
        <v>55</v>
      </c>
      <c r="G9" s="224"/>
      <c r="J9" s="214" t="s">
        <v>3</v>
      </c>
      <c r="K9" s="215">
        <v>0.2642</v>
      </c>
    </row>
    <row r="10" spans="1:11" ht="16.5" thickBot="1" thickTop="1">
      <c r="A10" s="96"/>
      <c r="B10" s="182" t="s">
        <v>114</v>
      </c>
      <c r="C10" s="102" t="s">
        <v>62</v>
      </c>
      <c r="D10" s="77"/>
      <c r="E10" s="77"/>
      <c r="F10" s="229" t="s">
        <v>115</v>
      </c>
      <c r="G10" s="171">
        <f>SUM(K48:K53)</f>
        <v>115.07142857142857</v>
      </c>
      <c r="J10" s="214" t="s">
        <v>4</v>
      </c>
      <c r="K10" s="215">
        <v>0.003969</v>
      </c>
    </row>
    <row r="11" spans="1:11" ht="16.5" thickBot="1" thickTop="1">
      <c r="A11" s="96"/>
      <c r="B11" s="182" t="s">
        <v>170</v>
      </c>
      <c r="C11" s="102" t="s">
        <v>62</v>
      </c>
      <c r="D11" s="77"/>
      <c r="E11" s="77"/>
      <c r="F11" s="229" t="s">
        <v>97</v>
      </c>
      <c r="G11" s="172">
        <f>(K48/C9)+K49+K50+K52</f>
        <v>59.714285714285715</v>
      </c>
      <c r="J11" s="214" t="s">
        <v>5</v>
      </c>
      <c r="K11" s="215">
        <v>859800</v>
      </c>
    </row>
    <row r="12" spans="1:11" ht="16.5" thickBot="1" thickTop="1">
      <c r="A12" s="96"/>
      <c r="B12" s="182" t="s">
        <v>285</v>
      </c>
      <c r="C12" s="103">
        <v>1</v>
      </c>
      <c r="D12" s="77"/>
      <c r="E12" s="77"/>
      <c r="F12" s="231" t="s">
        <v>11</v>
      </c>
      <c r="G12" s="223"/>
      <c r="J12" s="214" t="s">
        <v>108</v>
      </c>
      <c r="K12" s="215">
        <v>100000</v>
      </c>
    </row>
    <row r="13" spans="2:11" ht="16.5" thickBot="1" thickTop="1">
      <c r="B13" s="182" t="s">
        <v>171</v>
      </c>
      <c r="C13" s="102" t="s">
        <v>62</v>
      </c>
      <c r="D13" s="77"/>
      <c r="E13" s="77"/>
      <c r="F13" s="229" t="s">
        <v>105</v>
      </c>
      <c r="G13" s="173">
        <f>G10*K14*K8*(K55-K54)</f>
        <v>59501.13428571429</v>
      </c>
      <c r="J13" s="214" t="s">
        <v>205</v>
      </c>
      <c r="K13" s="215">
        <v>100</v>
      </c>
    </row>
    <row r="14" spans="2:11" ht="16.5" thickBot="1" thickTop="1">
      <c r="B14" s="182" t="s">
        <v>284</v>
      </c>
      <c r="C14" s="103">
        <v>1</v>
      </c>
      <c r="D14" s="77"/>
      <c r="E14" s="77"/>
      <c r="F14" s="229" t="s">
        <v>106</v>
      </c>
      <c r="G14" s="171">
        <f>G11*K14*K8*(K55-K54)</f>
        <v>30877.062857142857</v>
      </c>
      <c r="I14" s="40"/>
      <c r="J14" s="214" t="s">
        <v>33</v>
      </c>
      <c r="K14" s="215">
        <v>1</v>
      </c>
    </row>
    <row r="15" spans="2:11" ht="16.5" thickBot="1" thickTop="1">
      <c r="B15" s="182" t="s">
        <v>179</v>
      </c>
      <c r="C15" s="102" t="s">
        <v>62</v>
      </c>
      <c r="D15" s="77"/>
      <c r="E15" s="77"/>
      <c r="F15" s="229" t="s">
        <v>203</v>
      </c>
      <c r="G15" s="171">
        <f>thermsyear/K18</f>
        <v>18.09826167857143</v>
      </c>
      <c r="I15" s="40"/>
      <c r="J15" s="214" t="s">
        <v>32</v>
      </c>
      <c r="K15" s="215">
        <v>1</v>
      </c>
    </row>
    <row r="16" spans="2:11" ht="15.75" thickTop="1">
      <c r="B16" s="182" t="s">
        <v>180</v>
      </c>
      <c r="C16" s="103">
        <v>10</v>
      </c>
      <c r="D16" s="77"/>
      <c r="E16" s="77"/>
      <c r="F16" s="229" t="s">
        <v>201</v>
      </c>
      <c r="G16" s="171">
        <f>thermsyear*kwhtherm</f>
        <v>6364.869060166714</v>
      </c>
      <c r="I16" s="40"/>
      <c r="J16" s="214" t="s">
        <v>29</v>
      </c>
      <c r="K16" s="215">
        <v>365</v>
      </c>
    </row>
    <row r="17" spans="2:11" ht="15">
      <c r="B17" s="182" t="s">
        <v>288</v>
      </c>
      <c r="C17" s="104">
        <v>58</v>
      </c>
      <c r="D17" s="77"/>
      <c r="E17" s="77"/>
      <c r="F17" s="229" t="s">
        <v>204</v>
      </c>
      <c r="G17" s="171">
        <f>G13*daysyear/K12</f>
        <v>217.17914014285714</v>
      </c>
      <c r="I17" s="41"/>
      <c r="J17" s="214" t="s">
        <v>174</v>
      </c>
      <c r="K17" s="215">
        <v>7</v>
      </c>
    </row>
    <row r="18" spans="2:11" ht="15">
      <c r="B18" s="182" t="s">
        <v>182</v>
      </c>
      <c r="C18" s="104">
        <v>120</v>
      </c>
      <c r="D18" s="77"/>
      <c r="E18" s="77"/>
      <c r="F18" s="232" t="s">
        <v>7</v>
      </c>
      <c r="G18" s="222"/>
      <c r="I18" s="41"/>
      <c r="J18" s="214" t="s">
        <v>202</v>
      </c>
      <c r="K18" s="215">
        <v>12</v>
      </c>
    </row>
    <row r="19" spans="2:11" ht="15.75" thickBot="1">
      <c r="B19" s="184" t="s">
        <v>168</v>
      </c>
      <c r="C19" s="220"/>
      <c r="D19" s="77"/>
      <c r="E19" s="77"/>
      <c r="F19" s="229" t="s">
        <v>214</v>
      </c>
      <c r="G19" s="174">
        <f>kwhyear*co2kwh</f>
        <v>8863.226558270533</v>
      </c>
      <c r="I19" s="16"/>
      <c r="J19" s="214" t="s">
        <v>124</v>
      </c>
      <c r="K19" s="215">
        <v>29.307</v>
      </c>
    </row>
    <row r="20" spans="2:11" ht="16.5" thickBot="1" thickTop="1">
      <c r="B20" s="182" t="s">
        <v>183</v>
      </c>
      <c r="C20" s="105" t="s">
        <v>166</v>
      </c>
      <c r="D20" s="77"/>
      <c r="E20" s="77"/>
      <c r="F20" s="229" t="s">
        <v>126</v>
      </c>
      <c r="G20" s="175">
        <f>thermsyear*K7/K21*kwhcost</f>
        <v>7.6381878127616805</v>
      </c>
      <c r="I20" s="16"/>
      <c r="J20" s="214" t="s">
        <v>31</v>
      </c>
      <c r="K20" s="215">
        <v>100</v>
      </c>
    </row>
    <row r="21" spans="2:11" ht="16.5" thickBot="1" thickTop="1">
      <c r="B21" s="182" t="s">
        <v>191</v>
      </c>
      <c r="C21" s="105" t="s">
        <v>160</v>
      </c>
      <c r="D21" s="77"/>
      <c r="E21" s="77"/>
      <c r="F21" s="231" t="s">
        <v>189</v>
      </c>
      <c r="G21" s="221"/>
      <c r="J21" s="214" t="s">
        <v>186</v>
      </c>
      <c r="K21" s="215">
        <v>3412</v>
      </c>
    </row>
    <row r="22" spans="2:11" ht="15.75" thickTop="1">
      <c r="B22" s="182" t="s">
        <v>188</v>
      </c>
      <c r="C22" s="176">
        <f>VLOOKUP($C$20,hotwaterheaterdata,2)</f>
        <v>750</v>
      </c>
      <c r="D22" s="77"/>
      <c r="E22" s="77"/>
      <c r="F22" s="229" t="s">
        <v>98</v>
      </c>
      <c r="G22" s="177">
        <f>annualenergycost/daysyear</f>
        <v>2.3250663233485716</v>
      </c>
      <c r="J22" s="214" t="s">
        <v>267</v>
      </c>
      <c r="K22" s="215">
        <v>10.7639</v>
      </c>
    </row>
    <row r="23" spans="2:11" ht="15.75" thickBot="1">
      <c r="B23" s="182" t="s">
        <v>162</v>
      </c>
      <c r="C23" s="171">
        <f>VLOOKUP($C$20,hotwaterheaterdata,3)</f>
        <v>15</v>
      </c>
      <c r="F23" s="230" t="s">
        <v>208</v>
      </c>
      <c r="G23" s="179">
        <f>IF(C21="gas",thermsyear*thermcost/$C$24,kwhyear*kwhcost/$C$24)</f>
        <v>848.6492080222285</v>
      </c>
      <c r="J23" s="216" t="s">
        <v>229</v>
      </c>
      <c r="K23" s="217">
        <v>2000</v>
      </c>
    </row>
    <row r="24" spans="2:11" ht="15.75" thickBot="1">
      <c r="B24" s="183" t="s">
        <v>48</v>
      </c>
      <c r="C24" s="178">
        <f>VLOOKUP($C$20,hotwaterheaterdata,4)</f>
        <v>0.9</v>
      </c>
      <c r="J24" s="13" t="s">
        <v>46</v>
      </c>
      <c r="K24" s="4"/>
    </row>
    <row r="25" spans="10:11" ht="15">
      <c r="J25" s="212" t="s">
        <v>30</v>
      </c>
      <c r="K25" s="213">
        <v>0.016</v>
      </c>
    </row>
    <row r="26" spans="2:11" ht="15">
      <c r="B26" s="7" t="s">
        <v>8</v>
      </c>
      <c r="C26" s="78"/>
      <c r="J26" s="214" t="s">
        <v>213</v>
      </c>
      <c r="K26" s="215">
        <f>'grid data'!$B$11</f>
        <v>1.392523</v>
      </c>
    </row>
    <row r="27" spans="2:11" ht="15.75" thickBot="1">
      <c r="B27" s="2" t="s">
        <v>289</v>
      </c>
      <c r="C27"/>
      <c r="D27"/>
      <c r="E27"/>
      <c r="F27" s="2" t="s">
        <v>198</v>
      </c>
      <c r="J27" s="214" t="s">
        <v>125</v>
      </c>
      <c r="K27" s="215">
        <f>'grid data'!$B$10</f>
        <v>0.015969800000000003</v>
      </c>
    </row>
    <row r="28" spans="2:11" ht="15.75" thickBot="1">
      <c r="B28" s="185" t="s">
        <v>150</v>
      </c>
      <c r="C28" s="84" t="s">
        <v>149</v>
      </c>
      <c r="D28" s="189"/>
      <c r="E28" s="189"/>
      <c r="F28" s="189" t="s">
        <v>40</v>
      </c>
      <c r="G28" s="113" t="str">
        <f>VLOOKUP($C$29,solarcollectordata,3)</f>
        <v>SunEarth, Inc.</v>
      </c>
      <c r="J28" s="214" t="s">
        <v>178</v>
      </c>
      <c r="K28" s="215">
        <v>0.12</v>
      </c>
    </row>
    <row r="29" spans="2:11" ht="16.5" thickBot="1" thickTop="1">
      <c r="B29" s="186" t="s">
        <v>206</v>
      </c>
      <c r="C29" s="88" t="s">
        <v>100</v>
      </c>
      <c r="D29" s="190"/>
      <c r="E29" s="190"/>
      <c r="F29" s="190" t="s">
        <v>200</v>
      </c>
      <c r="G29" s="89" t="str">
        <f>VLOOKUP($C$29,solarcollectordata,2)</f>
        <v>2009045C </v>
      </c>
      <c r="J29" s="214" t="s">
        <v>107</v>
      </c>
      <c r="K29" s="215">
        <v>0.98</v>
      </c>
    </row>
    <row r="30" spans="2:11" ht="16.5" thickBot="1" thickTop="1">
      <c r="B30" s="272" t="s">
        <v>222</v>
      </c>
      <c r="C30" s="273" t="s">
        <v>62</v>
      </c>
      <c r="D30" s="190"/>
      <c r="E30" s="190"/>
      <c r="F30" s="191" t="s">
        <v>96</v>
      </c>
      <c r="G30" s="92">
        <f>VLOOKUP($C$55,solarcollectordata,6)</f>
        <v>30</v>
      </c>
      <c r="J30" s="214" t="s">
        <v>268</v>
      </c>
      <c r="K30" s="215">
        <v>1000</v>
      </c>
    </row>
    <row r="31" spans="2:11" ht="15.75" thickBot="1">
      <c r="B31" s="181" t="s">
        <v>183</v>
      </c>
      <c r="C31" s="274" t="s">
        <v>164</v>
      </c>
      <c r="D31" s="190"/>
      <c r="E31" s="190"/>
      <c r="F31" s="192" t="s">
        <v>197</v>
      </c>
      <c r="G31" s="89" t="str">
        <f>VLOOKUP($C$29,solarcollectordata,4)</f>
        <v>Glazed Flat-Plate</v>
      </c>
      <c r="J31" s="214" t="s">
        <v>269</v>
      </c>
      <c r="K31" s="215">
        <v>500</v>
      </c>
    </row>
    <row r="32" spans="2:11" ht="16.5" thickBot="1" thickTop="1">
      <c r="B32" s="182" t="s">
        <v>191</v>
      </c>
      <c r="C32" s="105" t="s">
        <v>76</v>
      </c>
      <c r="D32" s="190"/>
      <c r="E32" s="190"/>
      <c r="F32" s="196" t="s">
        <v>11</v>
      </c>
      <c r="G32" s="194"/>
      <c r="J32" s="214" t="s">
        <v>272</v>
      </c>
      <c r="K32" s="215">
        <v>150</v>
      </c>
    </row>
    <row r="33" spans="2:11" ht="15.75" thickTop="1">
      <c r="B33" s="182" t="s">
        <v>188</v>
      </c>
      <c r="C33" s="176">
        <f>VLOOKUP($C$31,hotwaterheaterdata,2)</f>
        <v>1025</v>
      </c>
      <c r="D33" s="190"/>
      <c r="E33" s="190"/>
      <c r="F33" s="191" t="s">
        <v>152</v>
      </c>
      <c r="G33" s="89">
        <f>VLOOKUP($C$29,solarcollectordata,7)</f>
        <v>0.666</v>
      </c>
      <c r="J33" s="214" t="s">
        <v>270</v>
      </c>
      <c r="K33" s="215">
        <v>750</v>
      </c>
    </row>
    <row r="34" spans="2:11" ht="15">
      <c r="B34" s="182" t="s">
        <v>162</v>
      </c>
      <c r="C34" s="171">
        <f>VLOOKUP($C$31,hotwaterheaterdata,3)</f>
        <v>15</v>
      </c>
      <c r="D34" s="190"/>
      <c r="E34" s="190"/>
      <c r="F34" s="190" t="s">
        <v>95</v>
      </c>
      <c r="G34" s="89">
        <f>VLOOKUP($C$29,solarcollectordata,13)</f>
        <v>37.08</v>
      </c>
      <c r="J34" s="214" t="s">
        <v>271</v>
      </c>
      <c r="K34" s="215">
        <v>250</v>
      </c>
    </row>
    <row r="35" spans="2:11" ht="15" customHeight="1" thickBot="1">
      <c r="B35" s="183" t="s">
        <v>48</v>
      </c>
      <c r="C35" s="178">
        <f>VLOOKUP($C$31,hotwaterheaterdata,4)</f>
        <v>0.65</v>
      </c>
      <c r="D35" s="190"/>
      <c r="E35" s="190"/>
      <c r="F35" s="190" t="s">
        <v>273</v>
      </c>
      <c r="G35" s="97">
        <f>G34/K22</f>
        <v>3.444848056931038</v>
      </c>
      <c r="J35" s="214" t="s">
        <v>44</v>
      </c>
      <c r="K35" s="218">
        <v>0.7</v>
      </c>
    </row>
    <row r="36" spans="2:11" ht="15" customHeight="1">
      <c r="B36" s="262"/>
      <c r="C36" s="261"/>
      <c r="D36" s="190"/>
      <c r="E36" s="190"/>
      <c r="F36" s="196" t="s">
        <v>195</v>
      </c>
      <c r="G36" s="197"/>
      <c r="J36" s="214" t="s">
        <v>45</v>
      </c>
      <c r="K36" s="218">
        <v>0.58</v>
      </c>
    </row>
    <row r="37" spans="2:11" ht="15">
      <c r="B37" s="187" t="s">
        <v>156</v>
      </c>
      <c r="C37" s="91">
        <f>VLOOKUP($C$28,solarsystemdata,4)</f>
        <v>1000</v>
      </c>
      <c r="D37" s="190"/>
      <c r="E37" s="190"/>
      <c r="F37" s="190" t="s">
        <v>93</v>
      </c>
      <c r="G37" s="238">
        <f>VLOOKUP($C$29,solarcollectordata,11)</f>
        <v>138</v>
      </c>
      <c r="J37" s="214" t="s">
        <v>116</v>
      </c>
      <c r="K37" s="215">
        <v>2.5</v>
      </c>
    </row>
    <row r="38" spans="2:11" ht="15">
      <c r="B38" s="187" t="s">
        <v>157</v>
      </c>
      <c r="C38" s="91">
        <f>VLOOKUP($C$29,solarcollectordata,5)</f>
        <v>1160</v>
      </c>
      <c r="D38" s="190"/>
      <c r="E38" s="190"/>
      <c r="F38" s="192" t="s">
        <v>94</v>
      </c>
      <c r="G38" s="238">
        <f>VLOOKUP($C$29,solarcollectordata,12)</f>
        <v>40.86</v>
      </c>
      <c r="J38" s="214" t="s">
        <v>117</v>
      </c>
      <c r="K38" s="215">
        <v>3</v>
      </c>
    </row>
    <row r="39" spans="2:11" ht="15">
      <c r="B39" s="187" t="s">
        <v>158</v>
      </c>
      <c r="C39" s="91">
        <f>VLOOKUP($C$28,solarsystemdata,5)</f>
        <v>1000</v>
      </c>
      <c r="D39" s="190"/>
      <c r="E39" s="190"/>
      <c r="F39" s="235" t="s">
        <v>175</v>
      </c>
      <c r="G39" s="239"/>
      <c r="J39" s="214" t="s">
        <v>172</v>
      </c>
      <c r="K39" s="215">
        <v>25</v>
      </c>
    </row>
    <row r="40" spans="2:11" ht="15">
      <c r="B40" s="187" t="s">
        <v>223</v>
      </c>
      <c r="C40" s="91">
        <f>IF(C30="yes",C33,0)</f>
        <v>1025</v>
      </c>
      <c r="D40" s="190"/>
      <c r="E40" s="190"/>
      <c r="F40" s="236" t="s">
        <v>296</v>
      </c>
      <c r="G40" s="275">
        <f>G41/kwhtherm</f>
        <v>156.17317973628687</v>
      </c>
      <c r="J40" s="214" t="s">
        <v>118</v>
      </c>
      <c r="K40" s="215">
        <v>3</v>
      </c>
    </row>
    <row r="41" spans="2:11" ht="15">
      <c r="B41" s="187" t="s">
        <v>159</v>
      </c>
      <c r="C41" s="91">
        <f>SUM(C37:C40)</f>
        <v>4185</v>
      </c>
      <c r="D41" s="190"/>
      <c r="E41" s="190"/>
      <c r="F41" s="236" t="s">
        <v>297</v>
      </c>
      <c r="G41" s="275">
        <f>((G4*K30*G3*G35*G33/K5)+(G5*K33*G3*G35*G33/K5)+(G6*K34*G3*G35*G33/K5))+((G4*K31*G35*(G2-G3)*G33/K5)+(G5*K32*G35*(G2-G3)*G33/K5)+(G6*K32*G35*(G2-G3)*G33/K5))</f>
        <v>4576.967378531359</v>
      </c>
      <c r="J41" s="214" t="s">
        <v>119</v>
      </c>
      <c r="K41" s="215">
        <v>15</v>
      </c>
    </row>
    <row r="42" spans="2:11" ht="15">
      <c r="B42" s="187" t="s">
        <v>99</v>
      </c>
      <c r="C42" s="94" t="str">
        <f>VLOOKUP($C$28,solarsystemdata,6)</f>
        <v>?</v>
      </c>
      <c r="D42" s="190"/>
      <c r="E42" s="190"/>
      <c r="F42" s="236" t="s">
        <v>290</v>
      </c>
      <c r="G42" s="276">
        <f>solarthermsyear/thermsyear</f>
        <v>0.7190984347463505</v>
      </c>
      <c r="J42" s="214" t="s">
        <v>173</v>
      </c>
      <c r="K42" s="215">
        <v>12.5</v>
      </c>
    </row>
    <row r="43" spans="2:11" ht="15.75" customHeight="1" thickBot="1">
      <c r="B43" s="195" t="s">
        <v>195</v>
      </c>
      <c r="C43" s="190"/>
      <c r="D43" s="190"/>
      <c r="E43" s="190"/>
      <c r="F43" s="236" t="s">
        <v>299</v>
      </c>
      <c r="G43" s="277">
        <f>(IF(G50&gt;0,G6*K44,0)+(IF(G51&gt;0,G5*K44,0))+(IF(G52&gt;0,G4*K44)))</f>
        <v>301</v>
      </c>
      <c r="J43" s="214" t="s">
        <v>184</v>
      </c>
      <c r="K43" s="215">
        <v>120</v>
      </c>
    </row>
    <row r="44" spans="2:11" ht="15">
      <c r="B44" s="187" t="s">
        <v>199</v>
      </c>
      <c r="C44" s="94" t="str">
        <f>VLOOKUP($C$28,solarsystemdata,2)</f>
        <v>?</v>
      </c>
      <c r="D44" s="190"/>
      <c r="E44" s="190"/>
      <c r="F44" s="270" t="s">
        <v>298</v>
      </c>
      <c r="G44" s="271"/>
      <c r="J44" s="234" t="s">
        <v>300</v>
      </c>
      <c r="K44" s="215">
        <v>365</v>
      </c>
    </row>
    <row r="45" spans="2:11" ht="15.75" thickBot="1">
      <c r="B45" s="187" t="s">
        <v>84</v>
      </c>
      <c r="C45" s="94" t="str">
        <f>VLOOKUP($C$28,solarsystemdata,7)</f>
        <v>closed</v>
      </c>
      <c r="D45" s="190"/>
      <c r="E45" s="190"/>
      <c r="F45" s="264" t="s">
        <v>302</v>
      </c>
      <c r="G45" s="278">
        <f>SUM(G48,G47,G46)</f>
        <v>74.51480224642359</v>
      </c>
      <c r="J45" s="216" t="s">
        <v>35</v>
      </c>
      <c r="K45" s="217">
        <v>58</v>
      </c>
    </row>
    <row r="46" spans="2:7" ht="15" customHeight="1">
      <c r="B46" s="187" t="s">
        <v>83</v>
      </c>
      <c r="C46" s="94" t="str">
        <f>VLOOKUP($C$28,solarsystemdata,8)</f>
        <v>water</v>
      </c>
      <c r="D46" s="190"/>
      <c r="E46" s="190"/>
      <c r="F46" s="265" t="s">
        <v>294</v>
      </c>
      <c r="G46" s="279">
        <f>G50/kwhtherm</f>
        <v>66.71938673667107</v>
      </c>
    </row>
    <row r="47" spans="2:11" ht="15.75" thickBot="1">
      <c r="B47" s="187" t="s">
        <v>147</v>
      </c>
      <c r="C47" s="94" t="str">
        <f>VLOOKUP($C$28,solarsystemdata,9)</f>
        <v>thermosiphoning</v>
      </c>
      <c r="D47" s="190"/>
      <c r="E47" s="190"/>
      <c r="F47" s="266" t="s">
        <v>295</v>
      </c>
      <c r="G47" s="279">
        <f>G51/kwhtherm</f>
        <v>7.7954155097525195</v>
      </c>
      <c r="J47" s="82" t="s">
        <v>185</v>
      </c>
      <c r="K47" s="4"/>
    </row>
    <row r="48" spans="2:11" ht="15" customHeight="1">
      <c r="B48" s="187" t="s">
        <v>85</v>
      </c>
      <c r="C48" s="94" t="str">
        <f>VLOOKUP($C$28,solarsystemdata,10)</f>
        <v>active</v>
      </c>
      <c r="D48" s="190"/>
      <c r="E48" s="190"/>
      <c r="F48" s="267" t="s">
        <v>293</v>
      </c>
      <c r="G48" s="280">
        <f>G52/kwhtherm</f>
        <v>0</v>
      </c>
      <c r="J48" s="212" t="s">
        <v>0</v>
      </c>
      <c r="K48" s="213">
        <f>IF(C15="yes",C9*K37*C16,C9*K37*5)</f>
        <v>75</v>
      </c>
    </row>
    <row r="49" spans="2:11" ht="15.75" customHeight="1">
      <c r="B49" s="187" t="s">
        <v>104</v>
      </c>
      <c r="C49" s="251" t="str">
        <f>VLOOKUP($C$28,solarsystemdata,11)</f>
        <v>drainback tank, includes PV panel to power DC pump</v>
      </c>
      <c r="D49" s="190"/>
      <c r="E49" s="190"/>
      <c r="F49" s="268" t="s">
        <v>301</v>
      </c>
      <c r="G49" s="278">
        <f>G50+G51+G52</f>
        <v>2183.805309435936</v>
      </c>
      <c r="J49" s="214" t="s">
        <v>109</v>
      </c>
      <c r="K49" s="215">
        <f>C9*K38</f>
        <v>9</v>
      </c>
    </row>
    <row r="50" spans="2:11" ht="15">
      <c r="B50" s="187"/>
      <c r="C50" s="251"/>
      <c r="D50" s="190"/>
      <c r="E50" s="190"/>
      <c r="F50" s="267" t="s">
        <v>291</v>
      </c>
      <c r="G50" s="281">
        <f>IF((G6*kwhyear)-((G6*K34*G3*G35*G33/K5)+(G6*K32*G35*(G2-G3)*G33/K5))&gt;0,(G6*kwhyear)-((G6*K34*G3*G35*G33/K5)+(G6*K32*G35*(G2-G3)*G33/K5)),0)</f>
        <v>1955.345067091619</v>
      </c>
      <c r="J50" s="214" t="s">
        <v>110</v>
      </c>
      <c r="K50" s="219">
        <f>IF(C11="yes",C9*K39*(C12/K17),0)</f>
        <v>10.714285714285714</v>
      </c>
    </row>
    <row r="51" spans="2:11" ht="15">
      <c r="B51" s="187"/>
      <c r="C51" s="251"/>
      <c r="D51" s="190"/>
      <c r="E51" s="190"/>
      <c r="F51" s="267" t="s">
        <v>292</v>
      </c>
      <c r="G51" s="281">
        <f>IF((G5*kwhyear)-((G5*K33*G3*G35*G33/K5)+((G5*K32*G35*(G2-G3)*G33/K5)))&gt;0,(G5*kwhyear)-((G5*K33*G3*G35*G33/K5)+((G5*K32*G35*(G2-G3)*G33/K5))),0)</f>
        <v>228.46024234431707</v>
      </c>
      <c r="J51" s="214" t="s">
        <v>111</v>
      </c>
      <c r="K51" s="215">
        <f>IF(C10="yes",0,K40*C9)</f>
        <v>0</v>
      </c>
    </row>
    <row r="52" spans="2:11" ht="15.75" thickBot="1">
      <c r="B52" s="188"/>
      <c r="C52" s="252"/>
      <c r="D52" s="193"/>
      <c r="E52" s="263"/>
      <c r="F52" s="269" t="s">
        <v>293</v>
      </c>
      <c r="G52" s="282">
        <f>IF((G4*kwhyear)-((G4*K30*G3*G35*G33/K5)+(G4*K31*G35*(G2-G3)))&gt;0,(G4*kwhyear)-((G4*K30*G3*G35*G33/K5)+(G4*K31*G35*(G2-G3))),0)</f>
        <v>0</v>
      </c>
      <c r="J52" s="214" t="s">
        <v>112</v>
      </c>
      <c r="K52" s="215">
        <f>IF(C10="yes",$K$41,0)</f>
        <v>15</v>
      </c>
    </row>
    <row r="53" spans="3:11" ht="15">
      <c r="C53" s="237"/>
      <c r="D53" s="237"/>
      <c r="E53" s="237"/>
      <c r="J53" s="214" t="s">
        <v>177</v>
      </c>
      <c r="K53" s="219">
        <f>IF(C13="yes",C14*K42*C9/K17,0)</f>
        <v>5.357142857142857</v>
      </c>
    </row>
    <row r="54" spans="2:11" ht="15.75" thickBot="1">
      <c r="B54" s="7" t="s">
        <v>9</v>
      </c>
      <c r="C54" s="77"/>
      <c r="J54" s="214" t="s">
        <v>181</v>
      </c>
      <c r="K54" s="215">
        <f>IF(C17=K45,K45,C17)</f>
        <v>58</v>
      </c>
    </row>
    <row r="55" spans="2:11" ht="15.75" thickBot="1">
      <c r="B55" s="198" t="s">
        <v>196</v>
      </c>
      <c r="C55" s="109" t="s">
        <v>130</v>
      </c>
      <c r="D55" s="202"/>
      <c r="E55" s="202"/>
      <c r="F55" s="225" t="s">
        <v>194</v>
      </c>
      <c r="G55" s="205"/>
      <c r="J55" s="216" t="s">
        <v>182</v>
      </c>
      <c r="K55" s="217">
        <f>IF(C18=K43,K43,C18)</f>
        <v>120</v>
      </c>
    </row>
    <row r="56" spans="2:7" ht="15" customHeight="1" thickTop="1">
      <c r="B56" s="226" t="s">
        <v>6</v>
      </c>
      <c r="C56" s="201"/>
      <c r="D56" s="201"/>
      <c r="E56" s="201"/>
      <c r="F56" s="203" t="s">
        <v>77</v>
      </c>
      <c r="G56" s="89" t="str">
        <f>VLOOKUP($C$55,heatpumpdata,2)</f>
        <v>GEH50DNSRSA</v>
      </c>
    </row>
    <row r="57" spans="2:7" ht="15">
      <c r="B57" s="199" t="s">
        <v>80</v>
      </c>
      <c r="C57" s="94">
        <f>VLOOKUP($C$55,heatpumpdata,3)</f>
        <v>1699</v>
      </c>
      <c r="D57" s="201"/>
      <c r="E57" s="201"/>
      <c r="F57" s="201" t="s">
        <v>78</v>
      </c>
      <c r="G57" s="92">
        <f>VLOOKUP($C$55,heatpumpdata,8)</f>
        <v>190</v>
      </c>
    </row>
    <row r="58" spans="2:7" ht="15">
      <c r="B58" s="199" t="s">
        <v>131</v>
      </c>
      <c r="C58" s="94">
        <f>VLOOKUP($C$55,heatpumpdata,4)</f>
        <v>400</v>
      </c>
      <c r="D58" s="201"/>
      <c r="E58" s="201"/>
      <c r="F58" s="201" t="s">
        <v>136</v>
      </c>
      <c r="G58" s="92">
        <f>VLOOKUP($C$55,heatpumpdata,9)</f>
        <v>60.5</v>
      </c>
    </row>
    <row r="59" spans="2:7" ht="15">
      <c r="B59" s="199" t="s">
        <v>81</v>
      </c>
      <c r="C59" s="94">
        <f>VLOOKUP($C$55,heatpumpdata,5)</f>
        <v>0</v>
      </c>
      <c r="D59" s="201"/>
      <c r="E59" s="201"/>
      <c r="F59" s="201" t="s">
        <v>134</v>
      </c>
      <c r="G59" s="92">
        <f>VLOOKUP($C$55,heatpumpdata,10)</f>
        <v>21.75</v>
      </c>
    </row>
    <row r="60" spans="2:7" ht="15">
      <c r="B60" s="199" t="s">
        <v>216</v>
      </c>
      <c r="C60" s="94">
        <f>SUM(C57:C59)</f>
        <v>2099</v>
      </c>
      <c r="D60" s="201"/>
      <c r="E60" s="201"/>
      <c r="F60" s="201" t="s">
        <v>135</v>
      </c>
      <c r="G60" s="92">
        <f>VLOOKUP($C$55,heatpumpdata,11)</f>
        <v>21.75</v>
      </c>
    </row>
    <row r="61" spans="2:7" ht="15">
      <c r="B61" s="199" t="s">
        <v>96</v>
      </c>
      <c r="C61" s="94">
        <f>VLOOKUP($C$55,heatpumpdata,6)</f>
        <v>15</v>
      </c>
      <c r="D61" s="201"/>
      <c r="E61" s="201"/>
      <c r="F61" s="201" t="s">
        <v>137</v>
      </c>
      <c r="G61" s="92">
        <f>VLOOKUP($C$55,heatpumpdata,12)</f>
        <v>50</v>
      </c>
    </row>
    <row r="62" spans="2:7" ht="15.75" thickBot="1">
      <c r="B62" s="200" t="s">
        <v>79</v>
      </c>
      <c r="C62" s="180">
        <f>IF(G11&lt;G62,VLOOKUP($C$55,heatpumpdata,7),((((VLOOKUP($C$55,heatpumpdata,7)*G62))+((G11-G62)*(C12/daysweek))*('hot water heater data'!D4))/G11))</f>
        <v>2.35</v>
      </c>
      <c r="D62" s="204"/>
      <c r="E62" s="204"/>
      <c r="F62" s="204" t="s">
        <v>138</v>
      </c>
      <c r="G62" s="115">
        <f>VLOOKUP($C$55,heatpumpdata,13)</f>
        <v>63</v>
      </c>
    </row>
    <row r="63" ht="15"/>
    <row r="64" spans="2:10" ht="15.75" thickBot="1">
      <c r="B64" s="7" t="s">
        <v>219</v>
      </c>
      <c r="E64" s="289"/>
      <c r="F64" s="283"/>
      <c r="G64" s="240"/>
      <c r="H64" s="284"/>
      <c r="I64" s="284"/>
      <c r="J64" s="284"/>
    </row>
    <row r="65" spans="2:10" ht="15.75" thickBot="1">
      <c r="B65" s="206" t="s">
        <v>210</v>
      </c>
      <c r="C65" s="101">
        <v>15</v>
      </c>
      <c r="E65" s="4"/>
      <c r="F65" s="4"/>
      <c r="J65" s="284"/>
    </row>
    <row r="66" spans="2:10" ht="15.75" thickTop="1">
      <c r="B66" s="227" t="s">
        <v>220</v>
      </c>
      <c r="C66" s="210"/>
      <c r="J66" s="284"/>
    </row>
    <row r="67" spans="2:10" ht="15">
      <c r="B67" s="207" t="s">
        <v>209</v>
      </c>
      <c r="C67" s="111">
        <f>IF(C32="gas",SUM(G46,G47,G48,)*thermcost/$C$35,SUM(G50,G51,G52)*kwhcost/$C$35)</f>
        <v>112.34539415614633</v>
      </c>
      <c r="J67" s="284"/>
    </row>
    <row r="68" spans="2:10" ht="15">
      <c r="B68" s="207" t="s">
        <v>207</v>
      </c>
      <c r="C68" s="110">
        <f>kwhyear/C62*kwhcost</f>
        <v>325.0145903063854</v>
      </c>
      <c r="J68" s="284"/>
    </row>
    <row r="69" spans="2:10" ht="15">
      <c r="B69" s="227" t="s">
        <v>221</v>
      </c>
      <c r="C69" s="210"/>
      <c r="J69" s="284"/>
    </row>
    <row r="70" spans="2:10" ht="15" customHeight="1">
      <c r="B70" s="207" t="s">
        <v>226</v>
      </c>
      <c r="C70" s="110">
        <f>IF(annualenergycost-C67&gt;0,annualenergycost-C67,0)</f>
        <v>736.3038138660822</v>
      </c>
      <c r="J70" s="284"/>
    </row>
    <row r="71" spans="2:10" ht="15">
      <c r="B71" s="207" t="s">
        <v>227</v>
      </c>
      <c r="C71" s="110">
        <f>IF(annualenergycost-C68&gt;0,annualenergycost-C68,0)</f>
        <v>523.6346177158432</v>
      </c>
      <c r="J71" s="284"/>
    </row>
    <row r="72" spans="2:10" ht="15">
      <c r="B72" s="227" t="s">
        <v>176</v>
      </c>
      <c r="C72" s="211"/>
      <c r="J72" s="284"/>
    </row>
    <row r="73" spans="2:10" ht="15">
      <c r="B73" s="207" t="s">
        <v>224</v>
      </c>
      <c r="C73" s="106">
        <f>C41/C70</f>
        <v>5.683795087283306</v>
      </c>
      <c r="J73" s="284"/>
    </row>
    <row r="74" spans="2:10" ht="15" customHeight="1">
      <c r="B74" s="207" t="s">
        <v>225</v>
      </c>
      <c r="C74" s="106">
        <f>IF(C71&gt;0,C60/C71,"-")</f>
        <v>4.008520309745923</v>
      </c>
      <c r="J74" s="284"/>
    </row>
    <row r="75" spans="2:10" ht="15">
      <c r="B75" s="227" t="str">
        <f>CONCATENATE("CO2 emissions over ",$C$65," years")</f>
        <v>CO2 emissions over 15 years</v>
      </c>
      <c r="C75" s="209"/>
      <c r="J75" s="284"/>
    </row>
    <row r="76" spans="2:10" ht="15">
      <c r="B76" s="207" t="s">
        <v>230</v>
      </c>
      <c r="C76" s="97">
        <f>(C67/co2kwh)*lifecycleanalysis/K23</f>
        <v>0.6050818953590694</v>
      </c>
      <c r="J76" s="284"/>
    </row>
    <row r="77" spans="2:10" ht="15">
      <c r="B77" s="207" t="s">
        <v>231</v>
      </c>
      <c r="C77" s="97">
        <f>(C68/co2kwh)*lifecycleanalysis/K23</f>
        <v>1.750498503290711</v>
      </c>
      <c r="G77" s="240"/>
      <c r="H77" s="284"/>
      <c r="I77" s="284"/>
      <c r="J77" s="284"/>
    </row>
    <row r="78" spans="2:10" ht="15">
      <c r="B78" s="227" t="str">
        <f>CONCATENATE("Hg emissions over ",$C$65," years")</f>
        <v>Hg emissions over 15 years</v>
      </c>
      <c r="C78" s="210"/>
      <c r="H78" s="284"/>
      <c r="I78" s="284"/>
      <c r="J78" s="284"/>
    </row>
    <row r="79" spans="2:10" ht="15">
      <c r="B79" s="207" t="s">
        <v>286</v>
      </c>
      <c r="C79" s="97">
        <f>G42*kwhyear*kwhhg</f>
        <v>73.0932536416701</v>
      </c>
      <c r="H79" s="284"/>
      <c r="I79" s="284"/>
      <c r="J79" s="284"/>
    </row>
    <row r="80" spans="2:10" ht="15">
      <c r="B80" s="207" t="s">
        <v>287</v>
      </c>
      <c r="C80" s="97">
        <f>kwhyear/C62*kwhhg</f>
        <v>43.25348336895762</v>
      </c>
      <c r="H80" s="284"/>
      <c r="I80" s="284"/>
      <c r="J80" s="284"/>
    </row>
    <row r="81" spans="2:10" ht="15">
      <c r="B81" s="227" t="str">
        <f>CONCATENATE("lifecycle cost over ",$C$65," years")</f>
        <v>lifecycle cost over 15 years</v>
      </c>
      <c r="C81" s="209"/>
      <c r="H81" s="284"/>
      <c r="I81" s="284"/>
      <c r="J81" s="284"/>
    </row>
    <row r="82" spans="2:10" ht="15">
      <c r="B82" s="207" t="s">
        <v>228</v>
      </c>
      <c r="C82" s="110">
        <f>(C67*lifecycleanalysis)+(C40*IF(C34-lifecycleanalysis&gt;=1,1,CEILING(lifecycleanalysis/C34,1))+(C41*IF(G30-lifecycleanalysis&gt;=1,1,CEILING(lifecycleanalysis/G30,1))))</f>
        <v>6895.180912342195</v>
      </c>
      <c r="H82" s="284"/>
      <c r="I82" s="284"/>
      <c r="J82" s="284"/>
    </row>
    <row r="83" spans="2:10" ht="15.75" thickBot="1">
      <c r="B83" s="208" t="s">
        <v>227</v>
      </c>
      <c r="C83" s="112">
        <f>(C68*lifecycleanalysis)+(C60*IF(C61-lifecycleanalysis&gt;=0,1,CEILING(lifecycleanalysis/C61,1)))</f>
        <v>6974.218854595781</v>
      </c>
      <c r="H83" s="284"/>
      <c r="I83" s="284"/>
      <c r="J83" s="284"/>
    </row>
    <row r="84" spans="8:10" ht="15">
      <c r="H84" s="284"/>
      <c r="I84" s="284"/>
      <c r="J84" s="284"/>
    </row>
    <row r="85" spans="8:15" ht="15">
      <c r="H85" s="284"/>
      <c r="I85" s="284"/>
      <c r="J85" s="284"/>
      <c r="O85" s="16"/>
    </row>
    <row r="86" spans="8:10" ht="15">
      <c r="H86" s="284"/>
      <c r="I86" s="284"/>
      <c r="J86" s="284"/>
    </row>
    <row r="87" spans="8:10" ht="15">
      <c r="H87" s="284"/>
      <c r="I87" s="284"/>
      <c r="J87" s="284"/>
    </row>
    <row r="88" spans="8:10" ht="15">
      <c r="H88" s="284"/>
      <c r="I88" s="284"/>
      <c r="J88" s="284"/>
    </row>
    <row r="125" ht="15">
      <c r="D125"/>
    </row>
    <row r="126" spans="3:4" ht="15">
      <c r="C126" s="1">
        <f>IF(SUM(C4:C6)=365,"","Days must add up to 365")</f>
      </c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spans="2:4" ht="15">
      <c r="B141"/>
      <c r="C141"/>
      <c r="D141"/>
    </row>
    <row r="142" spans="2:4" ht="15">
      <c r="B142"/>
      <c r="C142"/>
      <c r="D142"/>
    </row>
    <row r="143" spans="2:4" ht="15">
      <c r="B143"/>
      <c r="C143" s="165"/>
      <c r="D143"/>
    </row>
    <row r="144" ht="15">
      <c r="D144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1:3" ht="15">
      <c r="A159" s="3"/>
      <c r="B159"/>
      <c r="C159"/>
    </row>
    <row r="172" ht="15">
      <c r="A172" s="1" t="s">
        <v>217</v>
      </c>
    </row>
    <row r="173" ht="15">
      <c r="A173" s="1" t="s">
        <v>218</v>
      </c>
    </row>
    <row r="175" ht="15">
      <c r="A175" s="1" t="s">
        <v>12</v>
      </c>
    </row>
    <row r="176" ht="15">
      <c r="A176" s="1" t="s">
        <v>13</v>
      </c>
    </row>
    <row r="187" ht="15">
      <c r="B187" s="77"/>
    </row>
    <row r="188" ht="15">
      <c r="B188" s="77"/>
    </row>
    <row r="189" ht="15">
      <c r="B189" s="77"/>
    </row>
    <row r="190" ht="15">
      <c r="B190" s="77"/>
    </row>
    <row r="200" ht="15">
      <c r="B200" s="1">
        <v>15000</v>
      </c>
    </row>
    <row r="201" ht="15">
      <c r="B201" s="79">
        <f>C41*0.3</f>
        <v>1255.5</v>
      </c>
    </row>
    <row r="204" ht="15">
      <c r="A204" s="81"/>
    </row>
    <row r="205" ht="15">
      <c r="A205" s="81"/>
    </row>
    <row r="227" ht="15">
      <c r="B227" s="80"/>
    </row>
  </sheetData>
  <sheetProtection/>
  <mergeCells count="2">
    <mergeCell ref="B3:C3"/>
    <mergeCell ref="C49:C52"/>
  </mergeCells>
  <dataValidations count="9">
    <dataValidation type="list" allowBlank="1" showInputMessage="1" showErrorMessage="1" sqref="C65">
      <formula1>lifecycle</formula1>
    </dataValidation>
    <dataValidation type="list" allowBlank="1" showInputMessage="1" showErrorMessage="1" sqref="C55">
      <formula1>heatpumptype</formula1>
    </dataValidation>
    <dataValidation type="whole" operator="greaterThanOrEqual" allowBlank="1" showInputMessage="1" showErrorMessage="1" sqref="G51:G52">
      <formula1>0</formula1>
    </dataValidation>
    <dataValidation type="list" allowBlank="1" showInputMessage="1" showErrorMessage="1" sqref="C30 C15 C13 C10:C11">
      <formula1>yesno</formula1>
    </dataValidation>
    <dataValidation type="list" allowBlank="1" showInputMessage="1" showErrorMessage="1" sqref="C29">
      <formula1>solarcollectornames</formula1>
    </dataValidation>
    <dataValidation type="list" allowBlank="1" showInputMessage="1" showErrorMessage="1" sqref="C28">
      <formula1>solarsystemnames</formula1>
    </dataValidation>
    <dataValidation type="list" allowBlank="1" showInputMessage="1" showErrorMessage="1" sqref="C21 C32">
      <formula1>gasorelectric</formula1>
    </dataValidation>
    <dataValidation type="list" allowBlank="1" showInputMessage="1" showErrorMessage="1" sqref="C20 C31">
      <formula1>hotwaterheaternames</formula1>
    </dataValidation>
    <dataValidation type="list" allowBlank="1" showInputMessage="1" showErrorMessage="1" sqref="C9">
      <formula1>numpeople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2"/>
  <sheetViews>
    <sheetView zoomScale="55" zoomScaleNormal="55" zoomScalePageLayoutView="0" workbookViewId="0" topLeftCell="A37">
      <selection activeCell="I71" sqref="I71"/>
    </sheetView>
  </sheetViews>
  <sheetFormatPr defaultColWidth="9.140625" defaultRowHeight="15"/>
  <cols>
    <col min="14" max="14" width="25.7109375" style="0" customWidth="1"/>
    <col min="15" max="15" width="20.28125" style="0" customWidth="1"/>
    <col min="16" max="16" width="25.8515625" style="0" customWidth="1"/>
    <col min="17" max="17" width="21.57421875" style="0" customWidth="1"/>
    <col min="18" max="18" width="23.421875" style="0" customWidth="1"/>
    <col min="19" max="19" width="18.421875" style="0" customWidth="1"/>
    <col min="20" max="20" width="24.7109375" style="0" customWidth="1"/>
  </cols>
  <sheetData>
    <row r="1" spans="2:20" ht="15">
      <c r="B1" t="s">
        <v>246</v>
      </c>
      <c r="C1" t="s">
        <v>247</v>
      </c>
      <c r="D1" t="s">
        <v>248</v>
      </c>
      <c r="E1" t="s">
        <v>249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  <c r="M1" t="s">
        <v>257</v>
      </c>
      <c r="N1" t="s">
        <v>258</v>
      </c>
      <c r="O1" t="s">
        <v>265</v>
      </c>
      <c r="P1" t="s">
        <v>259</v>
      </c>
      <c r="Q1" t="s">
        <v>260</v>
      </c>
      <c r="R1" t="s">
        <v>261</v>
      </c>
      <c r="S1" t="s">
        <v>262</v>
      </c>
      <c r="T1" t="s">
        <v>263</v>
      </c>
    </row>
    <row r="2" spans="1:20" ht="15">
      <c r="A2">
        <v>0</v>
      </c>
      <c r="B2" s="165">
        <v>12.17</v>
      </c>
      <c r="C2" s="165">
        <v>12.17</v>
      </c>
      <c r="D2" s="165">
        <v>12.17</v>
      </c>
      <c r="E2" s="165">
        <v>12.17</v>
      </c>
      <c r="F2" s="165">
        <v>12.17</v>
      </c>
      <c r="G2" s="165">
        <v>12.17</v>
      </c>
      <c r="H2" s="165">
        <v>12.17</v>
      </c>
      <c r="I2" s="165">
        <v>12.17</v>
      </c>
      <c r="J2" s="165">
        <v>12.17</v>
      </c>
      <c r="K2" s="165">
        <v>12.17</v>
      </c>
      <c r="L2" s="165">
        <v>12.17</v>
      </c>
      <c r="M2" s="165">
        <v>12.17</v>
      </c>
      <c r="N2" s="166">
        <f>(B2*31)+(C2*28)+(D2*31)+(E2*30)+(F2*31)+(G2*30)+(H2*31)+(I2*31)+(J2*30)+(K2*31)+(L2*30)+(M2*31)</f>
        <v>4442.049999999999</v>
      </c>
      <c r="O2" s="166">
        <f aca="true" t="shared" si="0" ref="O2:O33">N2-(daysyear*4)</f>
        <v>2982.0499999999993</v>
      </c>
      <c r="P2" s="165">
        <f>AVERAGE(B2:M2)</f>
        <v>12.17</v>
      </c>
      <c r="Q2" s="165">
        <f>AVERAGE(M2,B2,C2)</f>
        <v>12.17</v>
      </c>
      <c r="R2" s="165">
        <f>Q2-4</f>
        <v>8.17</v>
      </c>
      <c r="S2" s="165">
        <f>AVERAGE(H2,F2,G2)</f>
        <v>12.17</v>
      </c>
      <c r="T2" s="165">
        <f>S2-4</f>
        <v>8.17</v>
      </c>
    </row>
    <row r="3" spans="1:20" ht="15">
      <c r="A3">
        <v>1</v>
      </c>
      <c r="B3" s="165">
        <v>12.111</v>
      </c>
      <c r="C3" s="165">
        <v>12.135</v>
      </c>
      <c r="D3" s="165">
        <v>12.16</v>
      </c>
      <c r="E3" s="165">
        <v>12.188</v>
      </c>
      <c r="F3" s="165">
        <v>12.21</v>
      </c>
      <c r="G3" s="165">
        <v>12.222999999999999</v>
      </c>
      <c r="H3" s="165">
        <v>12.22</v>
      </c>
      <c r="I3" s="165">
        <v>12.2</v>
      </c>
      <c r="J3" s="165">
        <v>12.173</v>
      </c>
      <c r="K3" s="165">
        <v>12.145</v>
      </c>
      <c r="L3" s="165">
        <v>12.12</v>
      </c>
      <c r="M3" s="165">
        <v>12.106</v>
      </c>
      <c r="N3" s="166">
        <f aca="true" t="shared" si="1" ref="N3:N66">(B3*31)+(C3*28)+(D3*31)+(E3*30)+(F3*31)+(G3*30)+(H3*31)+(I3*31)+(J3*30)+(K3*31)+(L3*30)+(M3*31)</f>
        <v>4440.612</v>
      </c>
      <c r="O3" s="166">
        <f t="shared" si="0"/>
        <v>2980.612</v>
      </c>
      <c r="P3" s="165">
        <f aca="true" t="shared" si="2" ref="P3:P66">AVERAGE(B3:M3)</f>
        <v>12.165916666666668</v>
      </c>
      <c r="Q3" s="165">
        <f aca="true" t="shared" si="3" ref="Q3:Q66">AVERAGE(M3,B3,C3)</f>
        <v>12.117333333333333</v>
      </c>
      <c r="R3" s="165">
        <f aca="true" t="shared" si="4" ref="R3:T18">Q3-4</f>
        <v>8.117333333333333</v>
      </c>
      <c r="S3" s="165">
        <f aca="true" t="shared" si="5" ref="S3:S66">AVERAGE(H3,F3,G3)</f>
        <v>12.217666666666666</v>
      </c>
      <c r="T3" s="165">
        <f t="shared" si="4"/>
        <v>8.217666666666666</v>
      </c>
    </row>
    <row r="4" spans="1:20" ht="15">
      <c r="A4">
        <v>2</v>
      </c>
      <c r="B4" s="165">
        <v>12.052000000000001</v>
      </c>
      <c r="C4" s="165">
        <v>12.1</v>
      </c>
      <c r="D4" s="165">
        <v>12.15</v>
      </c>
      <c r="E4" s="165">
        <v>12.206000000000001</v>
      </c>
      <c r="F4" s="165">
        <v>12.25</v>
      </c>
      <c r="G4" s="165">
        <v>12.276</v>
      </c>
      <c r="H4" s="165">
        <v>12.27</v>
      </c>
      <c r="I4" s="165">
        <v>12.23</v>
      </c>
      <c r="J4" s="165">
        <v>12.176</v>
      </c>
      <c r="K4" s="165">
        <v>12.12</v>
      </c>
      <c r="L4" s="165">
        <v>12.07</v>
      </c>
      <c r="M4" s="165">
        <v>12.042</v>
      </c>
      <c r="N4" s="166">
        <f t="shared" si="1"/>
        <v>4439.174</v>
      </c>
      <c r="O4" s="166">
        <f t="shared" si="0"/>
        <v>2979.174</v>
      </c>
      <c r="P4" s="165">
        <f t="shared" si="2"/>
        <v>12.161833333333334</v>
      </c>
      <c r="Q4" s="165">
        <f t="shared" si="3"/>
        <v>12.064666666666668</v>
      </c>
      <c r="R4" s="165">
        <f t="shared" si="4"/>
        <v>8.064666666666668</v>
      </c>
      <c r="S4" s="165">
        <f t="shared" si="5"/>
        <v>12.265333333333336</v>
      </c>
      <c r="T4" s="165">
        <f t="shared" si="4"/>
        <v>8.265333333333336</v>
      </c>
    </row>
    <row r="5" spans="1:20" ht="15">
      <c r="A5">
        <v>3</v>
      </c>
      <c r="B5" s="165">
        <v>11.993000000000002</v>
      </c>
      <c r="C5" s="165">
        <v>12.065</v>
      </c>
      <c r="D5" s="165">
        <v>12.14</v>
      </c>
      <c r="E5" s="165">
        <v>12.224000000000002</v>
      </c>
      <c r="F5" s="165">
        <v>12.29</v>
      </c>
      <c r="G5" s="165">
        <v>12.329</v>
      </c>
      <c r="H5" s="165">
        <v>12.32</v>
      </c>
      <c r="I5" s="165">
        <v>12.26</v>
      </c>
      <c r="J5" s="165">
        <v>12.179</v>
      </c>
      <c r="K5" s="165">
        <v>12.095</v>
      </c>
      <c r="L5" s="165">
        <v>12.02</v>
      </c>
      <c r="M5" s="165">
        <v>11.978</v>
      </c>
      <c r="N5" s="166">
        <f t="shared" si="1"/>
        <v>4437.736</v>
      </c>
      <c r="O5" s="166">
        <f t="shared" si="0"/>
        <v>2977.736</v>
      </c>
      <c r="P5" s="165">
        <f t="shared" si="2"/>
        <v>12.157750000000002</v>
      </c>
      <c r="Q5" s="165">
        <f t="shared" si="3"/>
        <v>12.012</v>
      </c>
      <c r="R5" s="165">
        <f t="shared" si="4"/>
        <v>8.012</v>
      </c>
      <c r="S5" s="165">
        <f t="shared" si="5"/>
        <v>12.313</v>
      </c>
      <c r="T5" s="165">
        <f t="shared" si="4"/>
        <v>8.313</v>
      </c>
    </row>
    <row r="6" spans="1:20" ht="15">
      <c r="A6">
        <v>4</v>
      </c>
      <c r="B6" s="165">
        <v>11.934000000000003</v>
      </c>
      <c r="C6" s="165">
        <v>12.03</v>
      </c>
      <c r="D6" s="165">
        <v>12.13</v>
      </c>
      <c r="E6" s="165">
        <v>12.242000000000003</v>
      </c>
      <c r="F6" s="165">
        <v>12.33</v>
      </c>
      <c r="G6" s="165">
        <v>12.382000000000001</v>
      </c>
      <c r="H6" s="165">
        <v>12.37</v>
      </c>
      <c r="I6" s="165">
        <v>12.29</v>
      </c>
      <c r="J6" s="165">
        <v>12.182</v>
      </c>
      <c r="K6" s="165">
        <v>12.07</v>
      </c>
      <c r="L6" s="165">
        <v>11.97</v>
      </c>
      <c r="M6" s="165">
        <v>11.914</v>
      </c>
      <c r="N6" s="166">
        <f t="shared" si="1"/>
        <v>4436.298000000001</v>
      </c>
      <c r="O6" s="166">
        <f t="shared" si="0"/>
        <v>2976.2980000000007</v>
      </c>
      <c r="P6" s="165">
        <f t="shared" si="2"/>
        <v>12.153666666666664</v>
      </c>
      <c r="Q6" s="165">
        <f t="shared" si="3"/>
        <v>11.959333333333333</v>
      </c>
      <c r="R6" s="165">
        <f t="shared" si="4"/>
        <v>7.959333333333333</v>
      </c>
      <c r="S6" s="165">
        <f t="shared" si="5"/>
        <v>12.360666666666669</v>
      </c>
      <c r="T6" s="165">
        <f t="shared" si="4"/>
        <v>8.360666666666669</v>
      </c>
    </row>
    <row r="7" spans="1:20" ht="15">
      <c r="A7">
        <v>5</v>
      </c>
      <c r="B7" s="165">
        <v>11.875</v>
      </c>
      <c r="C7" s="165">
        <v>11.995</v>
      </c>
      <c r="D7" s="165">
        <v>12.12</v>
      </c>
      <c r="E7" s="165">
        <v>12.26</v>
      </c>
      <c r="F7" s="165">
        <v>12.37</v>
      </c>
      <c r="G7" s="165">
        <v>12.435</v>
      </c>
      <c r="H7" s="165">
        <v>12.42</v>
      </c>
      <c r="I7" s="165">
        <v>12.32</v>
      </c>
      <c r="J7" s="165">
        <v>12.185</v>
      </c>
      <c r="K7" s="165">
        <v>12.045</v>
      </c>
      <c r="L7" s="165">
        <v>11.92</v>
      </c>
      <c r="M7" s="165">
        <v>11.85</v>
      </c>
      <c r="N7" s="166">
        <f t="shared" si="1"/>
        <v>4434.860000000001</v>
      </c>
      <c r="O7" s="166">
        <f t="shared" si="0"/>
        <v>2974.8600000000006</v>
      </c>
      <c r="P7" s="165">
        <f t="shared" si="2"/>
        <v>12.149583333333332</v>
      </c>
      <c r="Q7" s="165">
        <f t="shared" si="3"/>
        <v>11.906666666666666</v>
      </c>
      <c r="R7" s="165">
        <f t="shared" si="4"/>
        <v>7.906666666666666</v>
      </c>
      <c r="S7" s="165">
        <f t="shared" si="5"/>
        <v>12.408333333333333</v>
      </c>
      <c r="T7" s="165">
        <f t="shared" si="4"/>
        <v>8.408333333333333</v>
      </c>
    </row>
    <row r="8" spans="1:20" ht="15">
      <c r="A8">
        <v>6</v>
      </c>
      <c r="B8" s="165">
        <v>11.816000000000004</v>
      </c>
      <c r="C8" s="165">
        <v>11.96</v>
      </c>
      <c r="D8" s="165">
        <v>12.11</v>
      </c>
      <c r="E8" s="165">
        <v>12.278000000000004</v>
      </c>
      <c r="F8" s="165">
        <v>12.41</v>
      </c>
      <c r="G8" s="165">
        <v>12.488000000000003</v>
      </c>
      <c r="H8" s="165">
        <v>12.47</v>
      </c>
      <c r="I8" s="165">
        <v>12.35</v>
      </c>
      <c r="J8" s="165">
        <v>12.188</v>
      </c>
      <c r="K8" s="165">
        <v>12.02</v>
      </c>
      <c r="L8" s="165">
        <v>11.87</v>
      </c>
      <c r="M8" s="165">
        <v>11.786</v>
      </c>
      <c r="N8" s="166">
        <f t="shared" si="1"/>
        <v>4433.4220000000005</v>
      </c>
      <c r="O8" s="166">
        <f t="shared" si="0"/>
        <v>2973.4220000000005</v>
      </c>
      <c r="P8" s="165">
        <f t="shared" si="2"/>
        <v>12.1455</v>
      </c>
      <c r="Q8" s="165">
        <f t="shared" si="3"/>
        <v>11.854000000000001</v>
      </c>
      <c r="R8" s="165">
        <f t="shared" si="4"/>
        <v>7.854000000000001</v>
      </c>
      <c r="S8" s="165">
        <f t="shared" si="5"/>
        <v>12.456000000000003</v>
      </c>
      <c r="T8" s="165">
        <f t="shared" si="4"/>
        <v>8.456000000000003</v>
      </c>
    </row>
    <row r="9" spans="1:20" ht="15">
      <c r="A9">
        <v>7</v>
      </c>
      <c r="B9" s="165">
        <v>11.757000000000005</v>
      </c>
      <c r="C9" s="165">
        <v>11.925</v>
      </c>
      <c r="D9" s="165">
        <v>12.1</v>
      </c>
      <c r="E9" s="165">
        <v>12.296000000000005</v>
      </c>
      <c r="F9" s="165">
        <v>12.45</v>
      </c>
      <c r="G9" s="165">
        <v>12.541000000000004</v>
      </c>
      <c r="H9" s="165">
        <v>12.52</v>
      </c>
      <c r="I9" s="165">
        <v>12.38</v>
      </c>
      <c r="J9" s="165">
        <v>12.191</v>
      </c>
      <c r="K9" s="165">
        <v>11.995</v>
      </c>
      <c r="L9" s="165">
        <v>11.82</v>
      </c>
      <c r="M9" s="165">
        <v>11.722</v>
      </c>
      <c r="N9" s="166">
        <f t="shared" si="1"/>
        <v>4431.9839999999995</v>
      </c>
      <c r="O9" s="166">
        <f t="shared" si="0"/>
        <v>2971.9839999999995</v>
      </c>
      <c r="P9" s="165">
        <f t="shared" si="2"/>
        <v>12.14141666666667</v>
      </c>
      <c r="Q9" s="165">
        <f t="shared" si="3"/>
        <v>11.801333333333334</v>
      </c>
      <c r="R9" s="165">
        <f t="shared" si="4"/>
        <v>7.801333333333334</v>
      </c>
      <c r="S9" s="165">
        <f t="shared" si="5"/>
        <v>12.503666666666668</v>
      </c>
      <c r="T9" s="165">
        <f t="shared" si="4"/>
        <v>8.503666666666668</v>
      </c>
    </row>
    <row r="10" spans="1:20" ht="15">
      <c r="A10">
        <v>8</v>
      </c>
      <c r="B10" s="165">
        <v>11.698000000000006</v>
      </c>
      <c r="C10" s="165">
        <v>11.89</v>
      </c>
      <c r="D10" s="165">
        <v>12.09</v>
      </c>
      <c r="E10" s="165">
        <v>12.314000000000005</v>
      </c>
      <c r="F10" s="165">
        <v>12.49</v>
      </c>
      <c r="G10" s="165">
        <v>12.594000000000005</v>
      </c>
      <c r="H10" s="165">
        <v>12.57</v>
      </c>
      <c r="I10" s="165">
        <v>12.41</v>
      </c>
      <c r="J10" s="165">
        <v>12.194</v>
      </c>
      <c r="K10" s="165">
        <v>11.97</v>
      </c>
      <c r="L10" s="165">
        <v>11.77</v>
      </c>
      <c r="M10" s="165">
        <v>11.658</v>
      </c>
      <c r="N10" s="166">
        <f t="shared" si="1"/>
        <v>4430.546</v>
      </c>
      <c r="O10" s="166">
        <f t="shared" si="0"/>
        <v>2970.5460000000003</v>
      </c>
      <c r="P10" s="165">
        <f t="shared" si="2"/>
        <v>12.137333333333332</v>
      </c>
      <c r="Q10" s="165">
        <f t="shared" si="3"/>
        <v>11.748666666666667</v>
      </c>
      <c r="R10" s="165">
        <f t="shared" si="4"/>
        <v>7.748666666666667</v>
      </c>
      <c r="S10" s="165">
        <f t="shared" si="5"/>
        <v>12.551333333333337</v>
      </c>
      <c r="T10" s="165">
        <f t="shared" si="4"/>
        <v>8.551333333333337</v>
      </c>
    </row>
    <row r="11" spans="1:20" ht="15">
      <c r="A11">
        <v>9</v>
      </c>
      <c r="B11" s="165">
        <v>11.639000000000006</v>
      </c>
      <c r="C11" s="165">
        <v>11.855</v>
      </c>
      <c r="D11" s="165">
        <v>12.08</v>
      </c>
      <c r="E11" s="165">
        <v>12.332000000000006</v>
      </c>
      <c r="F11" s="165">
        <v>12.53</v>
      </c>
      <c r="G11" s="165">
        <v>12.647000000000006</v>
      </c>
      <c r="H11" s="165">
        <v>12.62</v>
      </c>
      <c r="I11" s="165">
        <v>12.44</v>
      </c>
      <c r="J11" s="165">
        <v>12.197000000000001</v>
      </c>
      <c r="K11" s="165">
        <v>11.945</v>
      </c>
      <c r="L11" s="165">
        <v>11.72</v>
      </c>
      <c r="M11" s="165">
        <v>11.594</v>
      </c>
      <c r="N11" s="166">
        <f t="shared" si="1"/>
        <v>4429.108</v>
      </c>
      <c r="O11" s="166">
        <f t="shared" si="0"/>
        <v>2969.108</v>
      </c>
      <c r="P11" s="165">
        <f t="shared" si="2"/>
        <v>12.133250000000002</v>
      </c>
      <c r="Q11" s="165">
        <f t="shared" si="3"/>
        <v>11.696</v>
      </c>
      <c r="R11" s="165">
        <f t="shared" si="4"/>
        <v>7.696</v>
      </c>
      <c r="S11" s="165">
        <f t="shared" si="5"/>
        <v>12.599000000000002</v>
      </c>
      <c r="T11" s="165">
        <f t="shared" si="4"/>
        <v>8.599000000000002</v>
      </c>
    </row>
    <row r="12" spans="1:20" ht="15">
      <c r="A12">
        <v>10</v>
      </c>
      <c r="B12" s="165">
        <v>11.58</v>
      </c>
      <c r="C12" s="165">
        <v>11.82</v>
      </c>
      <c r="D12" s="165">
        <v>12.07</v>
      </c>
      <c r="E12" s="165">
        <v>12.35</v>
      </c>
      <c r="F12" s="165">
        <v>12.57</v>
      </c>
      <c r="G12" s="165">
        <v>12.7</v>
      </c>
      <c r="H12" s="165">
        <v>12.67</v>
      </c>
      <c r="I12" s="165">
        <v>12.47</v>
      </c>
      <c r="J12" s="165">
        <v>12.2</v>
      </c>
      <c r="K12" s="165">
        <v>11.92</v>
      </c>
      <c r="L12" s="165">
        <v>11.67</v>
      </c>
      <c r="M12" s="165">
        <v>11.53</v>
      </c>
      <c r="N12" s="166">
        <f t="shared" si="1"/>
        <v>4427.670000000001</v>
      </c>
      <c r="O12" s="166">
        <f t="shared" si="0"/>
        <v>2967.670000000001</v>
      </c>
      <c r="P12" s="165">
        <f t="shared" si="2"/>
        <v>12.129166666666668</v>
      </c>
      <c r="Q12" s="165">
        <f t="shared" si="3"/>
        <v>11.643333333333336</v>
      </c>
      <c r="R12" s="165">
        <f t="shared" si="4"/>
        <v>7.643333333333336</v>
      </c>
      <c r="S12" s="165">
        <f t="shared" si="5"/>
        <v>12.64666666666667</v>
      </c>
      <c r="T12" s="165">
        <f t="shared" si="4"/>
        <v>8.64666666666667</v>
      </c>
    </row>
    <row r="13" spans="1:20" ht="15">
      <c r="A13">
        <v>11</v>
      </c>
      <c r="B13" s="165">
        <v>11.525</v>
      </c>
      <c r="C13" s="165">
        <v>11.772999999999998</v>
      </c>
      <c r="D13" s="165">
        <v>12.063000000000002</v>
      </c>
      <c r="E13" s="165">
        <v>12.375</v>
      </c>
      <c r="F13" s="165">
        <v>12.62</v>
      </c>
      <c r="G13" s="165">
        <v>12.752000000000006</v>
      </c>
      <c r="H13" s="165">
        <v>12.73</v>
      </c>
      <c r="I13" s="165">
        <v>12.505999999999993</v>
      </c>
      <c r="J13" s="165">
        <v>12.208000000000002</v>
      </c>
      <c r="K13" s="165">
        <v>11.897999999999996</v>
      </c>
      <c r="L13" s="165">
        <v>11.622999999999992</v>
      </c>
      <c r="M13" s="165">
        <v>11.47</v>
      </c>
      <c r="N13" s="166">
        <f t="shared" si="1"/>
        <v>4427.556</v>
      </c>
      <c r="O13" s="166">
        <f t="shared" si="0"/>
        <v>2967.5559999999996</v>
      </c>
      <c r="P13" s="165">
        <f t="shared" si="2"/>
        <v>12.128583333333333</v>
      </c>
      <c r="Q13" s="165">
        <f t="shared" si="3"/>
        <v>11.589333333333334</v>
      </c>
      <c r="R13" s="165">
        <f t="shared" si="4"/>
        <v>7.589333333333334</v>
      </c>
      <c r="S13" s="165">
        <f t="shared" si="5"/>
        <v>12.700666666666669</v>
      </c>
      <c r="T13" s="165">
        <f t="shared" si="4"/>
        <v>8.700666666666669</v>
      </c>
    </row>
    <row r="14" spans="1:20" ht="15">
      <c r="A14">
        <v>12</v>
      </c>
      <c r="B14" s="165">
        <v>11.47</v>
      </c>
      <c r="C14" s="165">
        <v>11.725999999999997</v>
      </c>
      <c r="D14" s="165">
        <v>12.056000000000003</v>
      </c>
      <c r="E14" s="165">
        <v>12.4</v>
      </c>
      <c r="F14" s="165">
        <v>12.67</v>
      </c>
      <c r="G14" s="165">
        <v>12.804000000000006</v>
      </c>
      <c r="H14" s="165">
        <v>12.79</v>
      </c>
      <c r="I14" s="165">
        <v>12.541999999999993</v>
      </c>
      <c r="J14" s="165">
        <v>12.216000000000001</v>
      </c>
      <c r="K14" s="165">
        <v>11.875999999999996</v>
      </c>
      <c r="L14" s="165">
        <v>11.575999999999992</v>
      </c>
      <c r="M14" s="165">
        <v>11.41</v>
      </c>
      <c r="N14" s="166">
        <f t="shared" si="1"/>
        <v>4427.442</v>
      </c>
      <c r="O14" s="166">
        <f t="shared" si="0"/>
        <v>2967.442</v>
      </c>
      <c r="P14" s="165">
        <f t="shared" si="2"/>
        <v>12.127999999999998</v>
      </c>
      <c r="Q14" s="165">
        <f t="shared" si="3"/>
        <v>11.535333333333334</v>
      </c>
      <c r="R14" s="165">
        <f t="shared" si="4"/>
        <v>7.535333333333334</v>
      </c>
      <c r="S14" s="165">
        <f t="shared" si="5"/>
        <v>12.75466666666667</v>
      </c>
      <c r="T14" s="165">
        <f t="shared" si="4"/>
        <v>8.75466666666667</v>
      </c>
    </row>
    <row r="15" spans="1:20" ht="15">
      <c r="A15">
        <v>13</v>
      </c>
      <c r="B15" s="165">
        <v>11.415</v>
      </c>
      <c r="C15" s="165">
        <v>11.678999999999997</v>
      </c>
      <c r="D15" s="165">
        <v>12.049000000000003</v>
      </c>
      <c r="E15" s="165">
        <v>12.425</v>
      </c>
      <c r="F15" s="165">
        <v>12.72</v>
      </c>
      <c r="G15" s="165">
        <v>12.856000000000005</v>
      </c>
      <c r="H15" s="165">
        <v>12.85</v>
      </c>
      <c r="I15" s="165">
        <v>12.577999999999992</v>
      </c>
      <c r="J15" s="165">
        <v>12.224</v>
      </c>
      <c r="K15" s="165">
        <v>11.853999999999996</v>
      </c>
      <c r="L15" s="165">
        <v>11.528999999999991</v>
      </c>
      <c r="M15" s="165">
        <v>11.35</v>
      </c>
      <c r="N15" s="166">
        <f t="shared" si="1"/>
        <v>4427.328</v>
      </c>
      <c r="O15" s="166">
        <f t="shared" si="0"/>
        <v>2967.3280000000004</v>
      </c>
      <c r="P15" s="165">
        <f t="shared" si="2"/>
        <v>12.127416666666667</v>
      </c>
      <c r="Q15" s="165">
        <f t="shared" si="3"/>
        <v>11.481333333333334</v>
      </c>
      <c r="R15" s="165">
        <f t="shared" si="4"/>
        <v>7.481333333333334</v>
      </c>
      <c r="S15" s="165">
        <f t="shared" si="5"/>
        <v>12.808666666666669</v>
      </c>
      <c r="T15" s="165">
        <f t="shared" si="4"/>
        <v>8.808666666666669</v>
      </c>
    </row>
    <row r="16" spans="1:20" ht="15">
      <c r="A16">
        <v>14</v>
      </c>
      <c r="B16" s="165">
        <v>11.36</v>
      </c>
      <c r="C16" s="165">
        <v>11.631999999999996</v>
      </c>
      <c r="D16" s="165">
        <v>12.042000000000003</v>
      </c>
      <c r="E16" s="165">
        <v>12.45</v>
      </c>
      <c r="F16" s="165">
        <v>12.77</v>
      </c>
      <c r="G16" s="165">
        <v>12.908000000000005</v>
      </c>
      <c r="H16" s="165">
        <v>12.91</v>
      </c>
      <c r="I16" s="165">
        <v>12.613999999999992</v>
      </c>
      <c r="J16" s="165">
        <v>12.232</v>
      </c>
      <c r="K16" s="165">
        <v>11.831999999999995</v>
      </c>
      <c r="L16" s="165">
        <v>11.48199999999999</v>
      </c>
      <c r="M16" s="165">
        <v>11.29</v>
      </c>
      <c r="N16" s="166">
        <f t="shared" si="1"/>
        <v>4427.214</v>
      </c>
      <c r="O16" s="166">
        <f t="shared" si="0"/>
        <v>2967.214</v>
      </c>
      <c r="P16" s="165">
        <f t="shared" si="2"/>
        <v>12.126833333333332</v>
      </c>
      <c r="Q16" s="165">
        <f t="shared" si="3"/>
        <v>11.427333333333335</v>
      </c>
      <c r="R16" s="165">
        <f t="shared" si="4"/>
        <v>7.427333333333335</v>
      </c>
      <c r="S16" s="165">
        <f t="shared" si="5"/>
        <v>12.86266666666667</v>
      </c>
      <c r="T16" s="165">
        <f t="shared" si="4"/>
        <v>8.86266666666667</v>
      </c>
    </row>
    <row r="17" spans="1:20" ht="15">
      <c r="A17">
        <v>15</v>
      </c>
      <c r="B17" s="165">
        <v>11.305</v>
      </c>
      <c r="C17" s="165">
        <v>11.585</v>
      </c>
      <c r="D17" s="165">
        <v>12.035</v>
      </c>
      <c r="E17" s="165">
        <v>12.475</v>
      </c>
      <c r="F17" s="165">
        <v>12.82</v>
      </c>
      <c r="G17" s="165">
        <v>12.96</v>
      </c>
      <c r="H17" s="165">
        <v>12.97</v>
      </c>
      <c r="I17" s="165">
        <v>12.65</v>
      </c>
      <c r="J17" s="165">
        <v>12.24</v>
      </c>
      <c r="K17" s="165">
        <v>11.81</v>
      </c>
      <c r="L17" s="165">
        <v>11.435</v>
      </c>
      <c r="M17" s="165">
        <v>11.23</v>
      </c>
      <c r="N17" s="166">
        <f t="shared" si="1"/>
        <v>4427.099999999999</v>
      </c>
      <c r="O17" s="166">
        <f t="shared" si="0"/>
        <v>2967.0999999999995</v>
      </c>
      <c r="P17" s="165">
        <f t="shared" si="2"/>
        <v>12.12625</v>
      </c>
      <c r="Q17" s="165">
        <f t="shared" si="3"/>
        <v>11.373333333333333</v>
      </c>
      <c r="R17" s="165">
        <f t="shared" si="4"/>
        <v>7.373333333333333</v>
      </c>
      <c r="S17" s="165">
        <f t="shared" si="5"/>
        <v>12.916666666666671</v>
      </c>
      <c r="T17" s="165">
        <f t="shared" si="4"/>
        <v>8.916666666666671</v>
      </c>
    </row>
    <row r="18" spans="1:20" ht="15">
      <c r="A18">
        <v>16</v>
      </c>
      <c r="B18" s="165">
        <v>11.25</v>
      </c>
      <c r="C18" s="165">
        <v>11.537999999999995</v>
      </c>
      <c r="D18" s="165">
        <v>12.028000000000004</v>
      </c>
      <c r="E18" s="165">
        <v>12.5</v>
      </c>
      <c r="F18" s="165">
        <v>12.87</v>
      </c>
      <c r="G18" s="165">
        <v>13.012000000000004</v>
      </c>
      <c r="H18" s="165">
        <v>13.03</v>
      </c>
      <c r="I18" s="165">
        <v>12.685999999999991</v>
      </c>
      <c r="J18" s="165">
        <v>12.247999999999998</v>
      </c>
      <c r="K18" s="165">
        <v>11.787999999999995</v>
      </c>
      <c r="L18" s="165">
        <v>11.38799999999999</v>
      </c>
      <c r="M18" s="165">
        <v>11.17</v>
      </c>
      <c r="N18" s="166">
        <f t="shared" si="1"/>
        <v>4426.986</v>
      </c>
      <c r="O18" s="166">
        <f t="shared" si="0"/>
        <v>2966.986</v>
      </c>
      <c r="P18" s="165">
        <f t="shared" si="2"/>
        <v>12.125666666666667</v>
      </c>
      <c r="Q18" s="165">
        <f t="shared" si="3"/>
        <v>11.319333333333333</v>
      </c>
      <c r="R18" s="165">
        <f t="shared" si="4"/>
        <v>7.319333333333333</v>
      </c>
      <c r="S18" s="165">
        <f t="shared" si="5"/>
        <v>12.970666666666668</v>
      </c>
      <c r="T18" s="165">
        <f t="shared" si="4"/>
        <v>8.970666666666668</v>
      </c>
    </row>
    <row r="19" spans="1:20" ht="15">
      <c r="A19">
        <v>17</v>
      </c>
      <c r="B19" s="165">
        <v>11.195</v>
      </c>
      <c r="C19" s="165">
        <v>11.490999999999994</v>
      </c>
      <c r="D19" s="165">
        <v>12.021000000000004</v>
      </c>
      <c r="E19" s="165">
        <v>12.525</v>
      </c>
      <c r="F19" s="165">
        <v>12.92</v>
      </c>
      <c r="G19" s="165">
        <v>13.064000000000004</v>
      </c>
      <c r="H19" s="165">
        <v>13.09</v>
      </c>
      <c r="I19" s="165">
        <v>12.72199999999999</v>
      </c>
      <c r="J19" s="165">
        <v>12.255999999999997</v>
      </c>
      <c r="K19" s="165">
        <v>11.765999999999995</v>
      </c>
      <c r="L19" s="165">
        <v>11.340999999999989</v>
      </c>
      <c r="M19" s="165">
        <v>11.11</v>
      </c>
      <c r="N19" s="166">
        <f t="shared" si="1"/>
        <v>4426.871999999999</v>
      </c>
      <c r="O19" s="166">
        <f t="shared" si="0"/>
        <v>2966.8719999999994</v>
      </c>
      <c r="P19" s="165">
        <f t="shared" si="2"/>
        <v>12.125083333333334</v>
      </c>
      <c r="Q19" s="165">
        <f t="shared" si="3"/>
        <v>11.265333333333333</v>
      </c>
      <c r="R19" s="165">
        <f aca="true" t="shared" si="6" ref="R19:T34">Q19-4</f>
        <v>7.2653333333333325</v>
      </c>
      <c r="S19" s="165">
        <f t="shared" si="5"/>
        <v>13.02466666666667</v>
      </c>
      <c r="T19" s="165">
        <f t="shared" si="6"/>
        <v>9.02466666666667</v>
      </c>
    </row>
    <row r="20" spans="1:20" ht="15">
      <c r="A20">
        <v>18</v>
      </c>
      <c r="B20" s="165">
        <v>11.14</v>
      </c>
      <c r="C20" s="165">
        <v>11.443999999999994</v>
      </c>
      <c r="D20" s="165">
        <v>12.014000000000005</v>
      </c>
      <c r="E20" s="165">
        <v>12.55</v>
      </c>
      <c r="F20" s="165">
        <v>12.97</v>
      </c>
      <c r="G20" s="165">
        <v>13.116000000000003</v>
      </c>
      <c r="H20" s="165">
        <v>13.15</v>
      </c>
      <c r="I20" s="165">
        <v>12.75799999999999</v>
      </c>
      <c r="J20" s="165">
        <v>12.263999999999996</v>
      </c>
      <c r="K20" s="165">
        <v>11.743999999999994</v>
      </c>
      <c r="L20" s="165">
        <v>11.293999999999988</v>
      </c>
      <c r="M20" s="165">
        <v>11.05</v>
      </c>
      <c r="N20" s="166">
        <f t="shared" si="1"/>
        <v>4426.758</v>
      </c>
      <c r="O20" s="166">
        <f t="shared" si="0"/>
        <v>2966.758</v>
      </c>
      <c r="P20" s="165">
        <f t="shared" si="2"/>
        <v>12.1245</v>
      </c>
      <c r="Q20" s="165">
        <f t="shared" si="3"/>
        <v>11.211333333333334</v>
      </c>
      <c r="R20" s="165">
        <f t="shared" si="6"/>
        <v>7.211333333333334</v>
      </c>
      <c r="S20" s="165">
        <f t="shared" si="5"/>
        <v>13.078666666666672</v>
      </c>
      <c r="T20" s="165">
        <f t="shared" si="6"/>
        <v>9.078666666666672</v>
      </c>
    </row>
    <row r="21" spans="1:20" ht="15">
      <c r="A21">
        <v>19</v>
      </c>
      <c r="B21" s="165">
        <v>11.085</v>
      </c>
      <c r="C21" s="165">
        <v>11.396999999999993</v>
      </c>
      <c r="D21" s="165">
        <v>12.007000000000005</v>
      </c>
      <c r="E21" s="165">
        <v>12.575</v>
      </c>
      <c r="F21" s="165">
        <v>13.02</v>
      </c>
      <c r="G21" s="165">
        <v>13.168000000000003</v>
      </c>
      <c r="H21" s="165">
        <v>13.21</v>
      </c>
      <c r="I21" s="165">
        <v>12.79399999999999</v>
      </c>
      <c r="J21" s="165">
        <v>12.271999999999995</v>
      </c>
      <c r="K21" s="165">
        <v>11.721999999999994</v>
      </c>
      <c r="L21" s="165">
        <v>11.246999999999987</v>
      </c>
      <c r="M21" s="165">
        <v>10.99</v>
      </c>
      <c r="N21" s="166">
        <f t="shared" si="1"/>
        <v>4426.643999999999</v>
      </c>
      <c r="O21" s="166">
        <f t="shared" si="0"/>
        <v>2966.6439999999993</v>
      </c>
      <c r="P21" s="165">
        <f t="shared" si="2"/>
        <v>12.123916666666668</v>
      </c>
      <c r="Q21" s="165">
        <f t="shared" si="3"/>
        <v>11.157333333333332</v>
      </c>
      <c r="R21" s="165">
        <f t="shared" si="6"/>
        <v>7.157333333333332</v>
      </c>
      <c r="S21" s="165">
        <f t="shared" si="5"/>
        <v>13.13266666666667</v>
      </c>
      <c r="T21" s="165">
        <f t="shared" si="6"/>
        <v>9.13266666666667</v>
      </c>
    </row>
    <row r="22" spans="1:20" ht="15">
      <c r="A22">
        <v>20</v>
      </c>
      <c r="B22" s="165">
        <v>11.03</v>
      </c>
      <c r="C22" s="165">
        <v>11.35</v>
      </c>
      <c r="D22" s="165">
        <v>12</v>
      </c>
      <c r="E22" s="165">
        <v>12.6</v>
      </c>
      <c r="F22" s="165">
        <v>13.07</v>
      </c>
      <c r="G22" s="165">
        <v>13.22</v>
      </c>
      <c r="H22" s="165">
        <v>13.27</v>
      </c>
      <c r="I22" s="165">
        <v>12.83</v>
      </c>
      <c r="J22" s="165">
        <v>12.28</v>
      </c>
      <c r="K22" s="165">
        <v>11.7</v>
      </c>
      <c r="L22" s="165">
        <v>11.2</v>
      </c>
      <c r="M22" s="165">
        <v>10.93</v>
      </c>
      <c r="N22" s="166">
        <f t="shared" si="1"/>
        <v>4426.529999999999</v>
      </c>
      <c r="O22" s="166">
        <f t="shared" si="0"/>
        <v>2966.529999999999</v>
      </c>
      <c r="P22" s="165">
        <f t="shared" si="2"/>
        <v>12.123333333333333</v>
      </c>
      <c r="Q22" s="165">
        <f t="shared" si="3"/>
        <v>11.103333333333332</v>
      </c>
      <c r="R22" s="165">
        <f t="shared" si="6"/>
        <v>7.103333333333332</v>
      </c>
      <c r="S22" s="165">
        <f t="shared" si="5"/>
        <v>13.186666666666673</v>
      </c>
      <c r="T22" s="165">
        <f t="shared" si="6"/>
        <v>9.186666666666673</v>
      </c>
    </row>
    <row r="23" spans="1:20" ht="15">
      <c r="A23">
        <v>21</v>
      </c>
      <c r="B23" s="165">
        <v>10.96700000000001</v>
      </c>
      <c r="C23" s="165">
        <v>11.330999999999992</v>
      </c>
      <c r="D23" s="165">
        <v>11.995</v>
      </c>
      <c r="E23" s="165">
        <v>12.62800000000001</v>
      </c>
      <c r="F23" s="165">
        <v>13.1996</v>
      </c>
      <c r="G23" s="165">
        <v>13.304600000000002</v>
      </c>
      <c r="H23" s="165">
        <v>13.336000000000013</v>
      </c>
      <c r="I23" s="165">
        <v>12.873699999999989</v>
      </c>
      <c r="J23" s="165">
        <v>12.290299999999995</v>
      </c>
      <c r="K23" s="165">
        <v>11.676699999999993</v>
      </c>
      <c r="L23" s="165">
        <v>11.145999999999987</v>
      </c>
      <c r="M23" s="165">
        <v>10.86</v>
      </c>
      <c r="N23" s="166">
        <f t="shared" si="1"/>
        <v>4430.482999999999</v>
      </c>
      <c r="O23" s="166">
        <f t="shared" si="0"/>
        <v>2970.4829999999993</v>
      </c>
      <c r="P23" s="165">
        <f t="shared" si="2"/>
        <v>12.133991666666667</v>
      </c>
      <c r="Q23" s="165">
        <f t="shared" si="3"/>
        <v>11.052666666666667</v>
      </c>
      <c r="R23" s="165">
        <f t="shared" si="6"/>
        <v>7.052666666666667</v>
      </c>
      <c r="S23" s="165">
        <f t="shared" si="5"/>
        <v>13.280066666666672</v>
      </c>
      <c r="T23" s="165">
        <f t="shared" si="6"/>
        <v>9.280066666666672</v>
      </c>
    </row>
    <row r="24" spans="1:20" ht="15">
      <c r="A24">
        <v>22</v>
      </c>
      <c r="B24" s="165">
        <v>10.904000000000009</v>
      </c>
      <c r="C24" s="165">
        <v>11.311999999999992</v>
      </c>
      <c r="D24" s="165">
        <v>11.99</v>
      </c>
      <c r="E24" s="165">
        <v>12.656000000000011</v>
      </c>
      <c r="F24" s="165">
        <v>13.3292</v>
      </c>
      <c r="G24" s="165">
        <v>13.389200000000002</v>
      </c>
      <c r="H24" s="165">
        <v>13.402000000000013</v>
      </c>
      <c r="I24" s="165">
        <v>12.917399999999988</v>
      </c>
      <c r="J24" s="165">
        <v>12.300599999999996</v>
      </c>
      <c r="K24" s="165">
        <v>11.653399999999994</v>
      </c>
      <c r="L24" s="165">
        <v>11.091999999999986</v>
      </c>
      <c r="M24" s="165">
        <v>10.79</v>
      </c>
      <c r="N24" s="166">
        <f t="shared" si="1"/>
        <v>4434.436</v>
      </c>
      <c r="O24" s="166">
        <f t="shared" si="0"/>
        <v>2974.4359999999997</v>
      </c>
      <c r="P24" s="165">
        <f t="shared" si="2"/>
        <v>12.14465</v>
      </c>
      <c r="Q24" s="165">
        <f t="shared" si="3"/>
        <v>11.001999999999997</v>
      </c>
      <c r="R24" s="165">
        <f t="shared" si="6"/>
        <v>7.001999999999997</v>
      </c>
      <c r="S24" s="165">
        <f t="shared" si="5"/>
        <v>13.373466666666673</v>
      </c>
      <c r="T24" s="165">
        <f t="shared" si="6"/>
        <v>9.373466666666673</v>
      </c>
    </row>
    <row r="25" spans="1:20" ht="15">
      <c r="A25">
        <v>23</v>
      </c>
      <c r="B25" s="165">
        <v>10.841000000000008</v>
      </c>
      <c r="C25" s="165">
        <v>11.292999999999992</v>
      </c>
      <c r="D25" s="165">
        <v>11.985</v>
      </c>
      <c r="E25" s="165">
        <v>12.684000000000012</v>
      </c>
      <c r="F25" s="165">
        <v>13.4588</v>
      </c>
      <c r="G25" s="165">
        <v>13.473800000000002</v>
      </c>
      <c r="H25" s="165">
        <v>13.468000000000014</v>
      </c>
      <c r="I25" s="165">
        <v>12.961099999999988</v>
      </c>
      <c r="J25" s="165">
        <v>12.310899999999997</v>
      </c>
      <c r="K25" s="165">
        <v>11.630099999999995</v>
      </c>
      <c r="L25" s="165">
        <v>11.037999999999986</v>
      </c>
      <c r="M25" s="165">
        <v>10.72</v>
      </c>
      <c r="N25" s="166">
        <f t="shared" si="1"/>
        <v>4438.388999999999</v>
      </c>
      <c r="O25" s="166">
        <f t="shared" si="0"/>
        <v>2978.388999999999</v>
      </c>
      <c r="P25" s="165">
        <f t="shared" si="2"/>
        <v>12.155308333333332</v>
      </c>
      <c r="Q25" s="165">
        <f t="shared" si="3"/>
        <v>10.95133333333333</v>
      </c>
      <c r="R25" s="165">
        <f t="shared" si="6"/>
        <v>6.951333333333331</v>
      </c>
      <c r="S25" s="165">
        <f t="shared" si="5"/>
        <v>13.466866666666673</v>
      </c>
      <c r="T25" s="165">
        <f t="shared" si="6"/>
        <v>9.466866666666673</v>
      </c>
    </row>
    <row r="26" spans="1:20" ht="15">
      <c r="A26">
        <v>24</v>
      </c>
      <c r="B26" s="165">
        <v>10.778000000000008</v>
      </c>
      <c r="C26" s="165">
        <v>11.273999999999992</v>
      </c>
      <c r="D26" s="165">
        <v>11.98</v>
      </c>
      <c r="E26" s="165">
        <v>12.712000000000012</v>
      </c>
      <c r="F26" s="165">
        <v>13.5884</v>
      </c>
      <c r="G26" s="165">
        <v>13.558400000000002</v>
      </c>
      <c r="H26" s="165">
        <v>13.534000000000015</v>
      </c>
      <c r="I26" s="165">
        <v>13.004799999999987</v>
      </c>
      <c r="J26" s="165">
        <v>12.321199999999997</v>
      </c>
      <c r="K26" s="165">
        <v>11.606799999999996</v>
      </c>
      <c r="L26" s="165">
        <v>10.983999999999986</v>
      </c>
      <c r="M26" s="165">
        <v>10.65</v>
      </c>
      <c r="N26" s="166">
        <f t="shared" si="1"/>
        <v>4442.342</v>
      </c>
      <c r="O26" s="166">
        <f t="shared" si="0"/>
        <v>2982.3419999999996</v>
      </c>
      <c r="P26" s="165">
        <f t="shared" si="2"/>
        <v>12.165966666666668</v>
      </c>
      <c r="Q26" s="165">
        <f t="shared" si="3"/>
        <v>10.900666666666664</v>
      </c>
      <c r="R26" s="165">
        <f t="shared" si="6"/>
        <v>6.900666666666664</v>
      </c>
      <c r="S26" s="165">
        <f t="shared" si="5"/>
        <v>13.560266666666672</v>
      </c>
      <c r="T26" s="165">
        <f t="shared" si="6"/>
        <v>9.560266666666672</v>
      </c>
    </row>
    <row r="27" spans="1:20" ht="15">
      <c r="A27">
        <v>25</v>
      </c>
      <c r="B27" s="165">
        <v>10.715</v>
      </c>
      <c r="C27" s="165">
        <v>11.255</v>
      </c>
      <c r="D27" s="165">
        <v>11.975</v>
      </c>
      <c r="E27" s="165">
        <v>12.74</v>
      </c>
      <c r="F27" s="165">
        <v>13.718</v>
      </c>
      <c r="G27" s="165">
        <v>13.643000000000002</v>
      </c>
      <c r="H27" s="165">
        <v>13.6</v>
      </c>
      <c r="I27" s="165">
        <v>13.048499999999986</v>
      </c>
      <c r="J27" s="165">
        <v>12.331499999999998</v>
      </c>
      <c r="K27" s="165">
        <v>11.583499999999997</v>
      </c>
      <c r="L27" s="165">
        <v>10.93</v>
      </c>
      <c r="M27" s="165">
        <v>10.58</v>
      </c>
      <c r="N27" s="166">
        <f t="shared" si="1"/>
        <v>4446.294999999999</v>
      </c>
      <c r="O27" s="166">
        <f t="shared" si="0"/>
        <v>2986.294999999999</v>
      </c>
      <c r="P27" s="165">
        <f t="shared" si="2"/>
        <v>12.176625000000001</v>
      </c>
      <c r="Q27" s="165">
        <f t="shared" si="3"/>
        <v>10.85</v>
      </c>
      <c r="R27" s="165">
        <f t="shared" si="6"/>
        <v>6.85</v>
      </c>
      <c r="S27" s="165">
        <f t="shared" si="5"/>
        <v>13.653666666666673</v>
      </c>
      <c r="T27" s="165">
        <f t="shared" si="6"/>
        <v>9.653666666666673</v>
      </c>
    </row>
    <row r="28" spans="1:20" ht="15">
      <c r="A28">
        <v>26</v>
      </c>
      <c r="B28" s="165">
        <v>10.652000000000006</v>
      </c>
      <c r="C28" s="165">
        <v>11.235999999999992</v>
      </c>
      <c r="D28" s="165">
        <v>11.97</v>
      </c>
      <c r="E28" s="165">
        <v>12.768000000000013</v>
      </c>
      <c r="F28" s="165">
        <v>13.8476</v>
      </c>
      <c r="G28" s="165">
        <v>13.727600000000002</v>
      </c>
      <c r="H28" s="165">
        <v>13.666000000000016</v>
      </c>
      <c r="I28" s="165">
        <v>13.092199999999986</v>
      </c>
      <c r="J28" s="165">
        <v>12.3418</v>
      </c>
      <c r="K28" s="165">
        <v>11.560199999999998</v>
      </c>
      <c r="L28" s="165">
        <v>10.875999999999985</v>
      </c>
      <c r="M28" s="165">
        <v>10.51</v>
      </c>
      <c r="N28" s="166">
        <f t="shared" si="1"/>
        <v>4450.248</v>
      </c>
      <c r="O28" s="166">
        <f t="shared" si="0"/>
        <v>2990.2479999999996</v>
      </c>
      <c r="P28" s="165">
        <f t="shared" si="2"/>
        <v>12.187283333333333</v>
      </c>
      <c r="Q28" s="165">
        <f t="shared" si="3"/>
        <v>10.79933333333333</v>
      </c>
      <c r="R28" s="165">
        <f t="shared" si="6"/>
        <v>6.79933333333333</v>
      </c>
      <c r="S28" s="165">
        <f t="shared" si="5"/>
        <v>13.747066666666674</v>
      </c>
      <c r="T28" s="165">
        <f t="shared" si="6"/>
        <v>9.747066666666674</v>
      </c>
    </row>
    <row r="29" spans="1:20" ht="15">
      <c r="A29">
        <v>27</v>
      </c>
      <c r="B29" s="165">
        <v>10.589000000000006</v>
      </c>
      <c r="C29" s="165">
        <v>11.216999999999992</v>
      </c>
      <c r="D29" s="165">
        <v>11.965</v>
      </c>
      <c r="E29" s="165">
        <v>12.796000000000014</v>
      </c>
      <c r="F29" s="165">
        <v>13.9772</v>
      </c>
      <c r="G29" s="165">
        <v>13.812200000000002</v>
      </c>
      <c r="H29" s="165">
        <v>13.732000000000017</v>
      </c>
      <c r="I29" s="165">
        <v>13.135899999999985</v>
      </c>
      <c r="J29" s="165">
        <v>12.3521</v>
      </c>
      <c r="K29" s="165">
        <v>11.5369</v>
      </c>
      <c r="L29" s="165">
        <v>10.821999999999985</v>
      </c>
      <c r="M29" s="165">
        <v>10.44</v>
      </c>
      <c r="N29" s="166">
        <f t="shared" si="1"/>
        <v>4454.201</v>
      </c>
      <c r="O29" s="166">
        <f t="shared" si="0"/>
        <v>2994.201</v>
      </c>
      <c r="P29" s="165">
        <f t="shared" si="2"/>
        <v>12.197941666666667</v>
      </c>
      <c r="Q29" s="165">
        <f t="shared" si="3"/>
        <v>10.748666666666663</v>
      </c>
      <c r="R29" s="165">
        <f t="shared" si="6"/>
        <v>6.748666666666663</v>
      </c>
      <c r="S29" s="165">
        <f t="shared" si="5"/>
        <v>13.840466666666673</v>
      </c>
      <c r="T29" s="165">
        <f t="shared" si="6"/>
        <v>9.840466666666673</v>
      </c>
    </row>
    <row r="30" spans="1:20" ht="15">
      <c r="A30">
        <v>28</v>
      </c>
      <c r="B30" s="165">
        <v>10.526000000000005</v>
      </c>
      <c r="C30" s="165">
        <v>11.197999999999992</v>
      </c>
      <c r="D30" s="165">
        <v>11.96</v>
      </c>
      <c r="E30" s="165">
        <v>12.824000000000014</v>
      </c>
      <c r="F30" s="165">
        <v>14.1068</v>
      </c>
      <c r="G30" s="165">
        <v>13.896800000000002</v>
      </c>
      <c r="H30" s="165">
        <v>13.798000000000018</v>
      </c>
      <c r="I30" s="165">
        <v>13.179599999999985</v>
      </c>
      <c r="J30" s="165">
        <v>12.362400000000001</v>
      </c>
      <c r="K30" s="165">
        <v>11.5136</v>
      </c>
      <c r="L30" s="165">
        <v>10.767999999999985</v>
      </c>
      <c r="M30" s="165">
        <v>10.37</v>
      </c>
      <c r="N30" s="166">
        <f t="shared" si="1"/>
        <v>4458.1539999999995</v>
      </c>
      <c r="O30" s="166">
        <f t="shared" si="0"/>
        <v>2998.1539999999995</v>
      </c>
      <c r="P30" s="165">
        <f t="shared" si="2"/>
        <v>12.208599999999999</v>
      </c>
      <c r="Q30" s="165">
        <f t="shared" si="3"/>
        <v>10.697999999999995</v>
      </c>
      <c r="R30" s="165">
        <f t="shared" si="6"/>
        <v>6.697999999999995</v>
      </c>
      <c r="S30" s="165">
        <f t="shared" si="5"/>
        <v>13.933866666666674</v>
      </c>
      <c r="T30" s="165">
        <f t="shared" si="6"/>
        <v>9.933866666666674</v>
      </c>
    </row>
    <row r="31" spans="1:20" ht="15">
      <c r="A31">
        <v>29</v>
      </c>
      <c r="B31" s="165">
        <v>10.463000000000005</v>
      </c>
      <c r="C31" s="165">
        <v>11.178999999999991</v>
      </c>
      <c r="D31" s="165">
        <v>11.955</v>
      </c>
      <c r="E31" s="165">
        <v>12.852000000000015</v>
      </c>
      <c r="F31" s="165">
        <v>14.2364</v>
      </c>
      <c r="G31" s="165">
        <v>13.981400000000002</v>
      </c>
      <c r="H31" s="165">
        <v>13.864000000000019</v>
      </c>
      <c r="I31" s="165">
        <v>13.223299999999984</v>
      </c>
      <c r="J31" s="165">
        <v>12.372700000000002</v>
      </c>
      <c r="K31" s="165">
        <v>11.490300000000001</v>
      </c>
      <c r="L31" s="165">
        <v>10.713999999999984</v>
      </c>
      <c r="M31" s="165">
        <v>10.3</v>
      </c>
      <c r="N31" s="166">
        <f t="shared" si="1"/>
        <v>4462.107</v>
      </c>
      <c r="O31" s="166">
        <f t="shared" si="0"/>
        <v>3002.107</v>
      </c>
      <c r="P31" s="165">
        <f t="shared" si="2"/>
        <v>12.219258333333334</v>
      </c>
      <c r="Q31" s="165">
        <f t="shared" si="3"/>
        <v>10.64733333333333</v>
      </c>
      <c r="R31" s="165">
        <f t="shared" si="6"/>
        <v>6.64733333333333</v>
      </c>
      <c r="S31" s="165">
        <f t="shared" si="5"/>
        <v>14.027266666666675</v>
      </c>
      <c r="T31" s="165">
        <f t="shared" si="6"/>
        <v>10.027266666666675</v>
      </c>
    </row>
    <row r="32" spans="1:20" ht="15">
      <c r="A32">
        <v>30</v>
      </c>
      <c r="B32" s="165">
        <v>10.4</v>
      </c>
      <c r="C32" s="165">
        <v>11.16</v>
      </c>
      <c r="D32" s="165">
        <v>11.95</v>
      </c>
      <c r="E32" s="165">
        <v>12.88</v>
      </c>
      <c r="F32" s="165">
        <v>14.366</v>
      </c>
      <c r="G32" s="165">
        <v>14.066000000000003</v>
      </c>
      <c r="H32" s="165">
        <v>13.93</v>
      </c>
      <c r="I32" s="165">
        <v>13.266999999999983</v>
      </c>
      <c r="J32" s="165">
        <v>12.383000000000003</v>
      </c>
      <c r="K32" s="165">
        <v>11.467000000000002</v>
      </c>
      <c r="L32" s="165">
        <v>10.66</v>
      </c>
      <c r="M32" s="165">
        <v>10.23</v>
      </c>
      <c r="N32" s="166">
        <f t="shared" si="1"/>
        <v>4466.06</v>
      </c>
      <c r="O32" s="166">
        <f t="shared" si="0"/>
        <v>3006.0600000000004</v>
      </c>
      <c r="P32" s="165">
        <f t="shared" si="2"/>
        <v>12.229916666666666</v>
      </c>
      <c r="Q32" s="165">
        <f t="shared" si="3"/>
        <v>10.596666666666662</v>
      </c>
      <c r="R32" s="165">
        <f t="shared" si="6"/>
        <v>6.596666666666662</v>
      </c>
      <c r="S32" s="165">
        <f t="shared" si="5"/>
        <v>14.120666666666674</v>
      </c>
      <c r="T32" s="165">
        <f t="shared" si="6"/>
        <v>10.120666666666674</v>
      </c>
    </row>
    <row r="33" spans="1:20" ht="15">
      <c r="A33">
        <v>31</v>
      </c>
      <c r="B33" s="165">
        <v>10.322000000000005</v>
      </c>
      <c r="C33" s="165">
        <v>11.113999999999992</v>
      </c>
      <c r="D33" s="165">
        <v>11.942999999999998</v>
      </c>
      <c r="E33" s="165">
        <v>12.915</v>
      </c>
      <c r="F33" s="165">
        <v>14.4664</v>
      </c>
      <c r="G33" s="165">
        <v>14.159400000000002</v>
      </c>
      <c r="H33" s="165">
        <v>14.01900000000002</v>
      </c>
      <c r="I33" s="165">
        <v>13.320299999999984</v>
      </c>
      <c r="J33" s="165">
        <v>12.396700000000003</v>
      </c>
      <c r="K33" s="165">
        <v>11.437300000000002</v>
      </c>
      <c r="L33" s="165">
        <v>10.595999999999984</v>
      </c>
      <c r="M33" s="165">
        <v>10.14</v>
      </c>
      <c r="N33" s="166">
        <f t="shared" si="1"/>
        <v>4468.293000000001</v>
      </c>
      <c r="O33" s="166">
        <f t="shared" si="0"/>
        <v>3008.2930000000006</v>
      </c>
      <c r="P33" s="165">
        <f t="shared" si="2"/>
        <v>12.235758333333335</v>
      </c>
      <c r="Q33" s="165">
        <f t="shared" si="3"/>
        <v>10.525333333333329</v>
      </c>
      <c r="R33" s="165">
        <f t="shared" si="6"/>
        <v>6.525333333333329</v>
      </c>
      <c r="S33" s="165">
        <f t="shared" si="5"/>
        <v>14.21493333333334</v>
      </c>
      <c r="T33" s="165">
        <f t="shared" si="6"/>
        <v>10.21493333333334</v>
      </c>
    </row>
    <row r="34" spans="1:20" ht="15">
      <c r="A34">
        <v>32</v>
      </c>
      <c r="B34" s="165">
        <v>10.244000000000005</v>
      </c>
      <c r="C34" s="165">
        <v>11.067999999999993</v>
      </c>
      <c r="D34" s="165">
        <v>11.935999999999998</v>
      </c>
      <c r="E34" s="165">
        <v>12.95</v>
      </c>
      <c r="F34" s="165">
        <v>14.5668</v>
      </c>
      <c r="G34" s="165">
        <v>14.2528</v>
      </c>
      <c r="H34" s="165">
        <v>14.10800000000002</v>
      </c>
      <c r="I34" s="165">
        <v>13.373599999999984</v>
      </c>
      <c r="J34" s="165">
        <v>12.410400000000003</v>
      </c>
      <c r="K34" s="165">
        <v>11.407600000000002</v>
      </c>
      <c r="L34" s="165">
        <v>10.531999999999984</v>
      </c>
      <c r="M34" s="165">
        <v>10.05</v>
      </c>
      <c r="N34" s="166">
        <f t="shared" si="1"/>
        <v>4470.526</v>
      </c>
      <c r="O34" s="166">
        <f aca="true" t="shared" si="7" ref="O34:O65">N34-(daysyear*4)</f>
        <v>3010.526</v>
      </c>
      <c r="P34" s="165">
        <f t="shared" si="2"/>
        <v>12.241599999999998</v>
      </c>
      <c r="Q34" s="165">
        <f t="shared" si="3"/>
        <v>10.453999999999995</v>
      </c>
      <c r="R34" s="165">
        <f t="shared" si="6"/>
        <v>6.453999999999995</v>
      </c>
      <c r="S34" s="165">
        <f t="shared" si="5"/>
        <v>14.309200000000006</v>
      </c>
      <c r="T34" s="165">
        <f t="shared" si="6"/>
        <v>10.309200000000006</v>
      </c>
    </row>
    <row r="35" spans="1:20" ht="15">
      <c r="A35">
        <v>33</v>
      </c>
      <c r="B35" s="165">
        <v>10.166000000000006</v>
      </c>
      <c r="C35" s="165">
        <v>11.021999999999993</v>
      </c>
      <c r="D35" s="165">
        <v>11.928999999999998</v>
      </c>
      <c r="E35" s="165">
        <v>12.985</v>
      </c>
      <c r="F35" s="165">
        <v>14.667200000000001</v>
      </c>
      <c r="G35" s="165">
        <v>14.3462</v>
      </c>
      <c r="H35" s="165">
        <v>14.19700000000002</v>
      </c>
      <c r="I35" s="165">
        <v>13.426899999999984</v>
      </c>
      <c r="J35" s="165">
        <v>12.424100000000003</v>
      </c>
      <c r="K35" s="165">
        <v>11.377900000000002</v>
      </c>
      <c r="L35" s="165">
        <v>10.467999999999984</v>
      </c>
      <c r="M35" s="165">
        <v>9.959999999999992</v>
      </c>
      <c r="N35" s="166">
        <f t="shared" si="1"/>
        <v>4472.759</v>
      </c>
      <c r="O35" s="166">
        <f t="shared" si="7"/>
        <v>3012.759</v>
      </c>
      <c r="P35" s="165">
        <f t="shared" si="2"/>
        <v>12.247441666666665</v>
      </c>
      <c r="Q35" s="165">
        <f t="shared" si="3"/>
        <v>10.382666666666664</v>
      </c>
      <c r="R35" s="165">
        <f aca="true" t="shared" si="8" ref="R35:T50">Q35-4</f>
        <v>6.382666666666664</v>
      </c>
      <c r="S35" s="165">
        <f t="shared" si="5"/>
        <v>14.403466666666674</v>
      </c>
      <c r="T35" s="165">
        <f t="shared" si="8"/>
        <v>10.403466666666674</v>
      </c>
    </row>
    <row r="36" spans="1:20" ht="15">
      <c r="A36">
        <v>34</v>
      </c>
      <c r="B36" s="165">
        <v>10.088000000000006</v>
      </c>
      <c r="C36" s="165">
        <v>10.975999999999994</v>
      </c>
      <c r="D36" s="165">
        <v>11.921999999999999</v>
      </c>
      <c r="E36" s="165">
        <v>13.02</v>
      </c>
      <c r="F36" s="165">
        <v>14.767600000000002</v>
      </c>
      <c r="G36" s="165">
        <v>14.439599999999999</v>
      </c>
      <c r="H36" s="165">
        <v>14.286000000000021</v>
      </c>
      <c r="I36" s="165">
        <v>13.480199999999984</v>
      </c>
      <c r="J36" s="165">
        <v>12.437800000000003</v>
      </c>
      <c r="K36" s="165">
        <v>11.348200000000002</v>
      </c>
      <c r="L36" s="165">
        <v>10.403999999999984</v>
      </c>
      <c r="M36" s="165">
        <v>9.869999999999992</v>
      </c>
      <c r="N36" s="166">
        <f t="shared" si="1"/>
        <v>4474.991999999999</v>
      </c>
      <c r="O36" s="166">
        <f t="shared" si="7"/>
        <v>3014.9919999999993</v>
      </c>
      <c r="P36" s="165">
        <f t="shared" si="2"/>
        <v>12.253283333333334</v>
      </c>
      <c r="Q36" s="165">
        <f t="shared" si="3"/>
        <v>10.31133333333333</v>
      </c>
      <c r="R36" s="165">
        <f t="shared" si="8"/>
        <v>6.31133333333333</v>
      </c>
      <c r="S36" s="165">
        <f t="shared" si="5"/>
        <v>14.497733333333342</v>
      </c>
      <c r="T36" s="165">
        <f t="shared" si="8"/>
        <v>10.497733333333342</v>
      </c>
    </row>
    <row r="37" spans="1:20" ht="15">
      <c r="A37">
        <v>35</v>
      </c>
      <c r="B37" s="165">
        <v>10.01</v>
      </c>
      <c r="C37" s="165">
        <v>10.93</v>
      </c>
      <c r="D37" s="165">
        <v>11.915</v>
      </c>
      <c r="E37" s="165">
        <v>13.055</v>
      </c>
      <c r="F37" s="165">
        <v>14.868000000000002</v>
      </c>
      <c r="G37" s="165">
        <v>14.532999999999998</v>
      </c>
      <c r="H37" s="165">
        <v>14.375</v>
      </c>
      <c r="I37" s="165">
        <v>13.533499999999984</v>
      </c>
      <c r="J37" s="165">
        <v>12.451500000000003</v>
      </c>
      <c r="K37" s="165">
        <v>11.318500000000002</v>
      </c>
      <c r="L37" s="165">
        <v>10.34</v>
      </c>
      <c r="M37" s="165">
        <v>9.779999999999992</v>
      </c>
      <c r="N37" s="166">
        <f t="shared" si="1"/>
        <v>4477.225</v>
      </c>
      <c r="O37" s="166">
        <f t="shared" si="7"/>
        <v>3017.2250000000004</v>
      </c>
      <c r="P37" s="165">
        <f t="shared" si="2"/>
        <v>12.259125</v>
      </c>
      <c r="Q37" s="165">
        <f t="shared" si="3"/>
        <v>10.239999999999997</v>
      </c>
      <c r="R37" s="165">
        <f t="shared" si="8"/>
        <v>6.239999999999997</v>
      </c>
      <c r="S37" s="165">
        <f t="shared" si="5"/>
        <v>14.592000000000008</v>
      </c>
      <c r="T37" s="165">
        <f t="shared" si="8"/>
        <v>10.592000000000008</v>
      </c>
    </row>
    <row r="38" spans="1:20" ht="15">
      <c r="A38">
        <v>36</v>
      </c>
      <c r="B38" s="165">
        <v>9.932000000000007</v>
      </c>
      <c r="C38" s="165">
        <v>10.883999999999995</v>
      </c>
      <c r="D38" s="165">
        <v>11.908</v>
      </c>
      <c r="E38" s="165">
        <v>13.09</v>
      </c>
      <c r="F38" s="165">
        <v>14.968400000000003</v>
      </c>
      <c r="G38" s="165">
        <v>14.626399999999997</v>
      </c>
      <c r="H38" s="165">
        <v>14.464000000000022</v>
      </c>
      <c r="I38" s="165">
        <v>13.586799999999984</v>
      </c>
      <c r="J38" s="165">
        <v>12.465200000000003</v>
      </c>
      <c r="K38" s="165">
        <v>11.288800000000002</v>
      </c>
      <c r="L38" s="165">
        <v>10.275999999999984</v>
      </c>
      <c r="M38" s="165">
        <v>9.689999999999992</v>
      </c>
      <c r="N38" s="166">
        <f t="shared" si="1"/>
        <v>4479.458</v>
      </c>
      <c r="O38" s="166">
        <f t="shared" si="7"/>
        <v>3019.4579999999996</v>
      </c>
      <c r="P38" s="165">
        <f t="shared" si="2"/>
        <v>12.264966666666668</v>
      </c>
      <c r="Q38" s="165">
        <f t="shared" si="3"/>
        <v>10.168666666666665</v>
      </c>
      <c r="R38" s="165">
        <f t="shared" si="8"/>
        <v>6.168666666666665</v>
      </c>
      <c r="S38" s="165">
        <f t="shared" si="5"/>
        <v>14.686266666666674</v>
      </c>
      <c r="T38" s="165">
        <f t="shared" si="8"/>
        <v>10.686266666666674</v>
      </c>
    </row>
    <row r="39" spans="1:20" ht="15">
      <c r="A39">
        <v>37</v>
      </c>
      <c r="B39" s="165">
        <v>9.854000000000008</v>
      </c>
      <c r="C39" s="165">
        <v>10.837999999999996</v>
      </c>
      <c r="D39" s="165">
        <v>11.901</v>
      </c>
      <c r="E39" s="165">
        <v>13.125</v>
      </c>
      <c r="F39" s="165">
        <v>15.068800000000003</v>
      </c>
      <c r="G39" s="165">
        <v>14.719799999999996</v>
      </c>
      <c r="H39" s="165">
        <v>14.553000000000022</v>
      </c>
      <c r="I39" s="165">
        <v>13.640099999999984</v>
      </c>
      <c r="J39" s="165">
        <v>12.478900000000003</v>
      </c>
      <c r="K39" s="165">
        <v>11.259100000000002</v>
      </c>
      <c r="L39" s="165">
        <v>10.211999999999984</v>
      </c>
      <c r="M39" s="165">
        <v>9.599999999999993</v>
      </c>
      <c r="N39" s="166">
        <f t="shared" si="1"/>
        <v>4481.691</v>
      </c>
      <c r="O39" s="166">
        <f t="shared" si="7"/>
        <v>3021.691</v>
      </c>
      <c r="P39" s="165">
        <f t="shared" si="2"/>
        <v>12.270808333333335</v>
      </c>
      <c r="Q39" s="165">
        <f t="shared" si="3"/>
        <v>10.097333333333331</v>
      </c>
      <c r="R39" s="165">
        <f t="shared" si="8"/>
        <v>6.0973333333333315</v>
      </c>
      <c r="S39" s="165">
        <f t="shared" si="5"/>
        <v>14.78053333333334</v>
      </c>
      <c r="T39" s="165">
        <f t="shared" si="8"/>
        <v>10.78053333333334</v>
      </c>
    </row>
    <row r="40" spans="1:20" ht="15">
      <c r="A40">
        <v>38</v>
      </c>
      <c r="B40" s="165">
        <v>9.776000000000009</v>
      </c>
      <c r="C40" s="165">
        <v>10.791999999999996</v>
      </c>
      <c r="D40" s="165">
        <v>11.894</v>
      </c>
      <c r="E40" s="165">
        <v>13.16</v>
      </c>
      <c r="F40" s="165">
        <v>15.169200000000004</v>
      </c>
      <c r="G40" s="165">
        <v>14.813199999999995</v>
      </c>
      <c r="H40" s="165">
        <v>14.642000000000023</v>
      </c>
      <c r="I40" s="165">
        <v>13.693399999999984</v>
      </c>
      <c r="J40" s="165">
        <v>12.492600000000003</v>
      </c>
      <c r="K40" s="165">
        <v>11.229400000000002</v>
      </c>
      <c r="L40" s="165">
        <v>10.147999999999984</v>
      </c>
      <c r="M40" s="165">
        <v>9.509999999999993</v>
      </c>
      <c r="N40" s="166">
        <f t="shared" si="1"/>
        <v>4483.924</v>
      </c>
      <c r="O40" s="166">
        <f t="shared" si="7"/>
        <v>3023.924</v>
      </c>
      <c r="P40" s="165">
        <f t="shared" si="2"/>
        <v>12.276650000000002</v>
      </c>
      <c r="Q40" s="165">
        <f t="shared" si="3"/>
        <v>10.025999999999998</v>
      </c>
      <c r="R40" s="165">
        <f t="shared" si="8"/>
        <v>6.025999999999998</v>
      </c>
      <c r="S40" s="165">
        <f t="shared" si="5"/>
        <v>14.874800000000008</v>
      </c>
      <c r="T40" s="165">
        <f t="shared" si="8"/>
        <v>10.874800000000008</v>
      </c>
    </row>
    <row r="41" spans="1:20" ht="15">
      <c r="A41">
        <v>39</v>
      </c>
      <c r="B41" s="165">
        <v>9.69800000000001</v>
      </c>
      <c r="C41" s="165">
        <v>10.745999999999997</v>
      </c>
      <c r="D41" s="165">
        <v>11.887</v>
      </c>
      <c r="E41" s="165">
        <v>13.195</v>
      </c>
      <c r="F41" s="165">
        <v>15.269600000000004</v>
      </c>
      <c r="G41" s="165">
        <v>14.906599999999994</v>
      </c>
      <c r="H41" s="165">
        <v>14.731000000000023</v>
      </c>
      <c r="I41" s="165">
        <v>13.746699999999985</v>
      </c>
      <c r="J41" s="165">
        <v>12.506300000000003</v>
      </c>
      <c r="K41" s="165">
        <v>11.199700000000002</v>
      </c>
      <c r="L41" s="165">
        <v>10.083999999999984</v>
      </c>
      <c r="M41" s="165">
        <v>9.419999999999993</v>
      </c>
      <c r="N41" s="166">
        <f>(B41*31)+(C41*28)+(D41*31)+(E41*30)+(F41*31)+(G41*30)+(H41*31)+(I41*31)+(J41*30)+(K41*31)+(L41*30)+(M41*31)</f>
        <v>4486.157</v>
      </c>
      <c r="O41" s="166">
        <f t="shared" si="7"/>
        <v>3026.157</v>
      </c>
      <c r="P41" s="165">
        <f t="shared" si="2"/>
        <v>12.282491666666667</v>
      </c>
      <c r="Q41" s="165">
        <f t="shared" si="3"/>
        <v>9.954666666666666</v>
      </c>
      <c r="R41" s="165">
        <f t="shared" si="8"/>
        <v>5.954666666666666</v>
      </c>
      <c r="S41" s="165">
        <f t="shared" si="5"/>
        <v>14.969066666666672</v>
      </c>
      <c r="T41" s="165">
        <f t="shared" si="8"/>
        <v>10.969066666666672</v>
      </c>
    </row>
    <row r="42" spans="1:20" ht="15">
      <c r="A42">
        <v>40</v>
      </c>
      <c r="B42" s="165">
        <v>9.62000000000001</v>
      </c>
      <c r="C42" s="165">
        <v>10.7</v>
      </c>
      <c r="D42" s="165">
        <v>11.88</v>
      </c>
      <c r="E42" s="165">
        <v>13.23</v>
      </c>
      <c r="F42" s="165">
        <v>15.37</v>
      </c>
      <c r="G42" s="165">
        <v>15</v>
      </c>
      <c r="H42" s="165">
        <v>14.82</v>
      </c>
      <c r="I42" s="165">
        <v>13.8</v>
      </c>
      <c r="J42" s="165">
        <v>12.52</v>
      </c>
      <c r="K42" s="165">
        <v>11.17</v>
      </c>
      <c r="L42" s="165">
        <v>10.02</v>
      </c>
      <c r="M42" s="165">
        <v>9.329999999999993</v>
      </c>
      <c r="N42" s="166">
        <f t="shared" si="1"/>
        <v>4488.389999999999</v>
      </c>
      <c r="O42" s="166">
        <f t="shared" si="7"/>
        <v>3028.3899999999994</v>
      </c>
      <c r="P42" s="165">
        <f t="shared" si="2"/>
        <v>12.288333333333332</v>
      </c>
      <c r="Q42" s="165">
        <f t="shared" si="3"/>
        <v>9.883333333333333</v>
      </c>
      <c r="R42" s="165">
        <f t="shared" si="8"/>
        <v>5.883333333333333</v>
      </c>
      <c r="S42" s="165">
        <f t="shared" si="5"/>
        <v>15.06333333333334</v>
      </c>
      <c r="T42" s="165">
        <f t="shared" si="8"/>
        <v>11.06333333333334</v>
      </c>
    </row>
    <row r="43" spans="1:20" ht="15">
      <c r="A43">
        <v>41</v>
      </c>
      <c r="B43" s="165">
        <v>9.50800000000001</v>
      </c>
      <c r="C43" s="165">
        <v>10.64</v>
      </c>
      <c r="D43" s="165">
        <v>11.872</v>
      </c>
      <c r="E43" s="165">
        <v>13.28</v>
      </c>
      <c r="F43" s="165">
        <v>15.54</v>
      </c>
      <c r="G43" s="165">
        <v>15.135</v>
      </c>
      <c r="H43" s="165">
        <v>14.901000000000023</v>
      </c>
      <c r="I43" s="165">
        <v>13.875</v>
      </c>
      <c r="J43" s="165">
        <v>12.538000000000004</v>
      </c>
      <c r="K43" s="165">
        <v>11.131000000000002</v>
      </c>
      <c r="L43" s="165">
        <v>9.927999999999983</v>
      </c>
      <c r="M43" s="165">
        <v>9.204999999999993</v>
      </c>
      <c r="N43" s="166">
        <f t="shared" si="1"/>
        <v>4491.342</v>
      </c>
      <c r="O43" s="166">
        <f t="shared" si="7"/>
        <v>3031.3419999999996</v>
      </c>
      <c r="P43" s="165">
        <f t="shared" si="2"/>
        <v>12.296083333333334</v>
      </c>
      <c r="Q43" s="165">
        <f t="shared" si="3"/>
        <v>9.784333333333333</v>
      </c>
      <c r="R43" s="165">
        <f t="shared" si="8"/>
        <v>5.784333333333333</v>
      </c>
      <c r="S43" s="165">
        <f t="shared" si="5"/>
        <v>15.192000000000007</v>
      </c>
      <c r="T43" s="165">
        <f t="shared" si="8"/>
        <v>11.192000000000007</v>
      </c>
    </row>
    <row r="44" spans="1:20" ht="15">
      <c r="A44">
        <v>42</v>
      </c>
      <c r="B44" s="165">
        <v>9.39600000000001</v>
      </c>
      <c r="C44" s="165">
        <v>10.58</v>
      </c>
      <c r="D44" s="165">
        <v>11.864</v>
      </c>
      <c r="E44" s="165">
        <v>13.33</v>
      </c>
      <c r="F44" s="165">
        <v>15.71</v>
      </c>
      <c r="G44" s="165">
        <v>15.27</v>
      </c>
      <c r="H44" s="165">
        <v>14.982000000000022</v>
      </c>
      <c r="I44" s="165">
        <v>13.95</v>
      </c>
      <c r="J44" s="165">
        <v>12.556000000000004</v>
      </c>
      <c r="K44" s="165">
        <v>11.092000000000002</v>
      </c>
      <c r="L44" s="165">
        <v>9.835999999999983</v>
      </c>
      <c r="M44" s="165">
        <v>9.079999999999993</v>
      </c>
      <c r="N44" s="166">
        <f t="shared" si="1"/>
        <v>4494.294</v>
      </c>
      <c r="O44" s="166">
        <f t="shared" si="7"/>
        <v>3034.294</v>
      </c>
      <c r="P44" s="165">
        <f t="shared" si="2"/>
        <v>12.303833333333335</v>
      </c>
      <c r="Q44" s="165">
        <f t="shared" si="3"/>
        <v>9.685333333333332</v>
      </c>
      <c r="R44" s="165">
        <f t="shared" si="8"/>
        <v>5.6853333333333325</v>
      </c>
      <c r="S44" s="165">
        <f t="shared" si="5"/>
        <v>15.320666666666673</v>
      </c>
      <c r="T44" s="165">
        <f t="shared" si="8"/>
        <v>11.320666666666673</v>
      </c>
    </row>
    <row r="45" spans="1:20" ht="15">
      <c r="A45">
        <v>43</v>
      </c>
      <c r="B45" s="165">
        <v>9.28400000000001</v>
      </c>
      <c r="C45" s="165">
        <v>10.52</v>
      </c>
      <c r="D45" s="165">
        <v>11.856000000000002</v>
      </c>
      <c r="E45" s="165">
        <v>13.38</v>
      </c>
      <c r="F45" s="165">
        <v>15.88</v>
      </c>
      <c r="G45" s="165">
        <v>15.405</v>
      </c>
      <c r="H45" s="165">
        <v>15.063000000000022</v>
      </c>
      <c r="I45" s="165">
        <v>14.025</v>
      </c>
      <c r="J45" s="165">
        <v>12.574000000000005</v>
      </c>
      <c r="K45" s="165">
        <v>11.053000000000003</v>
      </c>
      <c r="L45" s="165">
        <v>9.743999999999982</v>
      </c>
      <c r="M45" s="165">
        <v>8.954999999999993</v>
      </c>
      <c r="N45" s="166">
        <f t="shared" si="1"/>
        <v>4497.246000000001</v>
      </c>
      <c r="O45" s="166">
        <f t="shared" si="7"/>
        <v>3037.246000000001</v>
      </c>
      <c r="P45" s="165">
        <f t="shared" si="2"/>
        <v>12.311583333333331</v>
      </c>
      <c r="Q45" s="165">
        <f t="shared" si="3"/>
        <v>9.586333333333334</v>
      </c>
      <c r="R45" s="165">
        <f t="shared" si="8"/>
        <v>5.586333333333334</v>
      </c>
      <c r="S45" s="165">
        <f t="shared" si="5"/>
        <v>15.44933333333334</v>
      </c>
      <c r="T45" s="165">
        <f t="shared" si="8"/>
        <v>11.44933333333334</v>
      </c>
    </row>
    <row r="46" spans="1:20" ht="15">
      <c r="A46">
        <v>44</v>
      </c>
      <c r="B46" s="165">
        <v>9.17200000000001</v>
      </c>
      <c r="C46" s="165">
        <v>10.46</v>
      </c>
      <c r="D46" s="165">
        <v>11.848000000000003</v>
      </c>
      <c r="E46" s="165">
        <v>13.43</v>
      </c>
      <c r="F46" s="165">
        <v>16.05</v>
      </c>
      <c r="G46" s="165">
        <v>15.54</v>
      </c>
      <c r="H46" s="165">
        <v>15.144000000000021</v>
      </c>
      <c r="I46" s="165">
        <v>14.1</v>
      </c>
      <c r="J46" s="165">
        <v>12.592000000000006</v>
      </c>
      <c r="K46" s="165">
        <v>11.014000000000003</v>
      </c>
      <c r="L46" s="165">
        <v>9.651999999999981</v>
      </c>
      <c r="M46" s="165">
        <v>8.829999999999993</v>
      </c>
      <c r="N46" s="166">
        <f t="shared" si="1"/>
        <v>4500.198</v>
      </c>
      <c r="O46" s="166">
        <f t="shared" si="7"/>
        <v>3040.1980000000003</v>
      </c>
      <c r="P46" s="165">
        <f t="shared" si="2"/>
        <v>12.319333333333335</v>
      </c>
      <c r="Q46" s="165">
        <f t="shared" si="3"/>
        <v>9.487333333333332</v>
      </c>
      <c r="R46" s="165">
        <f t="shared" si="8"/>
        <v>5.487333333333332</v>
      </c>
      <c r="S46" s="165">
        <f t="shared" si="5"/>
        <v>15.578000000000005</v>
      </c>
      <c r="T46" s="165">
        <f t="shared" si="8"/>
        <v>11.578000000000005</v>
      </c>
    </row>
    <row r="47" spans="1:20" ht="15">
      <c r="A47">
        <v>45</v>
      </c>
      <c r="B47" s="165">
        <v>9.06000000000001</v>
      </c>
      <c r="C47" s="165">
        <v>10.4</v>
      </c>
      <c r="D47" s="165">
        <v>11.84</v>
      </c>
      <c r="E47" s="165">
        <v>13.48</v>
      </c>
      <c r="F47" s="165">
        <v>16.22</v>
      </c>
      <c r="G47" s="165">
        <v>15.675</v>
      </c>
      <c r="H47" s="165">
        <v>15.225</v>
      </c>
      <c r="I47" s="165">
        <v>14.175</v>
      </c>
      <c r="J47" s="165">
        <v>12.61</v>
      </c>
      <c r="K47" s="165">
        <v>10.975</v>
      </c>
      <c r="L47" s="165">
        <v>9.559999999999981</v>
      </c>
      <c r="M47" s="165">
        <v>8.704999999999993</v>
      </c>
      <c r="N47" s="166">
        <f t="shared" si="1"/>
        <v>4503.15</v>
      </c>
      <c r="O47" s="166">
        <f t="shared" si="7"/>
        <v>3043.1499999999996</v>
      </c>
      <c r="P47" s="165">
        <f t="shared" si="2"/>
        <v>12.327083333333333</v>
      </c>
      <c r="Q47" s="165">
        <f t="shared" si="3"/>
        <v>9.388333333333332</v>
      </c>
      <c r="R47" s="165">
        <f t="shared" si="8"/>
        <v>5.388333333333332</v>
      </c>
      <c r="S47" s="165">
        <f t="shared" si="5"/>
        <v>15.706666666666672</v>
      </c>
      <c r="T47" s="165">
        <f t="shared" si="8"/>
        <v>11.706666666666672</v>
      </c>
    </row>
    <row r="48" spans="1:20" ht="15">
      <c r="A48">
        <v>46</v>
      </c>
      <c r="B48" s="165">
        <v>8.94800000000001</v>
      </c>
      <c r="C48" s="165">
        <v>10.34</v>
      </c>
      <c r="D48" s="165">
        <v>11.832000000000004</v>
      </c>
      <c r="E48" s="165">
        <v>13.53</v>
      </c>
      <c r="F48" s="165">
        <v>16.39</v>
      </c>
      <c r="G48" s="165">
        <v>15.81</v>
      </c>
      <c r="H48" s="165">
        <v>15.30600000000002</v>
      </c>
      <c r="I48" s="165">
        <v>14.25</v>
      </c>
      <c r="J48" s="165">
        <v>12.628000000000007</v>
      </c>
      <c r="K48" s="165">
        <v>10.936000000000003</v>
      </c>
      <c r="L48" s="165">
        <v>9.46799999999998</v>
      </c>
      <c r="M48" s="165">
        <v>8.579999999999993</v>
      </c>
      <c r="N48" s="166">
        <f t="shared" si="1"/>
        <v>4506.102</v>
      </c>
      <c r="O48" s="166">
        <f t="shared" si="7"/>
        <v>3046.102</v>
      </c>
      <c r="P48" s="165">
        <f t="shared" si="2"/>
        <v>12.334833333333336</v>
      </c>
      <c r="Q48" s="165">
        <f t="shared" si="3"/>
        <v>9.289333333333332</v>
      </c>
      <c r="R48" s="165">
        <f t="shared" si="8"/>
        <v>5.289333333333332</v>
      </c>
      <c r="S48" s="165">
        <f t="shared" si="5"/>
        <v>15.835333333333338</v>
      </c>
      <c r="T48" s="165">
        <f t="shared" si="8"/>
        <v>11.835333333333338</v>
      </c>
    </row>
    <row r="49" spans="1:20" ht="15">
      <c r="A49">
        <v>47</v>
      </c>
      <c r="B49" s="165">
        <v>8.83600000000001</v>
      </c>
      <c r="C49" s="165">
        <v>10.28</v>
      </c>
      <c r="D49" s="165">
        <v>11.824000000000005</v>
      </c>
      <c r="E49" s="165">
        <v>13.58</v>
      </c>
      <c r="F49" s="165">
        <v>16.56</v>
      </c>
      <c r="G49" s="165">
        <v>15.945</v>
      </c>
      <c r="H49" s="165">
        <v>15.38700000000002</v>
      </c>
      <c r="I49" s="165">
        <v>14.325</v>
      </c>
      <c r="J49" s="165">
        <v>12.646000000000008</v>
      </c>
      <c r="K49" s="165">
        <v>10.897000000000004</v>
      </c>
      <c r="L49" s="165">
        <v>9.37599999999998</v>
      </c>
      <c r="M49" s="165">
        <v>8.454999999999993</v>
      </c>
      <c r="N49" s="166">
        <f t="shared" si="1"/>
        <v>4509.054</v>
      </c>
      <c r="O49" s="166">
        <f t="shared" si="7"/>
        <v>3049.054</v>
      </c>
      <c r="P49" s="165">
        <f t="shared" si="2"/>
        <v>12.342583333333332</v>
      </c>
      <c r="Q49" s="165">
        <f t="shared" si="3"/>
        <v>9.190333333333333</v>
      </c>
      <c r="R49" s="165">
        <f t="shared" si="8"/>
        <v>5.190333333333333</v>
      </c>
      <c r="S49" s="165">
        <f t="shared" si="5"/>
        <v>15.964000000000008</v>
      </c>
      <c r="T49" s="165">
        <f t="shared" si="8"/>
        <v>11.964000000000008</v>
      </c>
    </row>
    <row r="50" spans="1:20" ht="15">
      <c r="A50">
        <v>48</v>
      </c>
      <c r="B50" s="165">
        <v>8.724000000000009</v>
      </c>
      <c r="C50" s="165">
        <v>10.22</v>
      </c>
      <c r="D50" s="165">
        <v>11.816000000000006</v>
      </c>
      <c r="E50" s="165">
        <v>13.63</v>
      </c>
      <c r="F50" s="165">
        <v>16.73</v>
      </c>
      <c r="G50" s="165">
        <v>16.08</v>
      </c>
      <c r="H50" s="165">
        <v>15.46800000000002</v>
      </c>
      <c r="I50" s="165">
        <v>14.4</v>
      </c>
      <c r="J50" s="165">
        <v>12.664000000000009</v>
      </c>
      <c r="K50" s="165">
        <v>10.858000000000004</v>
      </c>
      <c r="L50" s="165">
        <v>9.28399999999998</v>
      </c>
      <c r="M50" s="165">
        <v>8.329999999999993</v>
      </c>
      <c r="N50" s="166">
        <f t="shared" si="1"/>
        <v>4512.005999999999</v>
      </c>
      <c r="O50" s="166">
        <f t="shared" si="7"/>
        <v>3052.0059999999994</v>
      </c>
      <c r="P50" s="165">
        <f t="shared" si="2"/>
        <v>12.350333333333333</v>
      </c>
      <c r="Q50" s="165">
        <f t="shared" si="3"/>
        <v>9.091333333333331</v>
      </c>
      <c r="R50" s="165">
        <f t="shared" si="8"/>
        <v>5.091333333333331</v>
      </c>
      <c r="S50" s="165">
        <f t="shared" si="5"/>
        <v>16.092666666666673</v>
      </c>
      <c r="T50" s="165">
        <f t="shared" si="8"/>
        <v>12.092666666666673</v>
      </c>
    </row>
    <row r="51" spans="1:20" ht="15">
      <c r="A51">
        <v>49</v>
      </c>
      <c r="B51" s="165">
        <v>8.612000000000009</v>
      </c>
      <c r="C51" s="165">
        <v>10.16</v>
      </c>
      <c r="D51" s="165">
        <v>11.808000000000007</v>
      </c>
      <c r="E51" s="165">
        <v>13.68</v>
      </c>
      <c r="F51" s="165">
        <v>16.9</v>
      </c>
      <c r="G51" s="165">
        <v>16.215</v>
      </c>
      <c r="H51" s="165">
        <v>15.549000000000019</v>
      </c>
      <c r="I51" s="165">
        <v>14.475</v>
      </c>
      <c r="J51" s="165">
        <v>12.68200000000001</v>
      </c>
      <c r="K51" s="165">
        <v>10.819000000000004</v>
      </c>
      <c r="L51" s="165">
        <v>9.191999999999979</v>
      </c>
      <c r="M51" s="165">
        <v>8.204999999999993</v>
      </c>
      <c r="N51" s="166">
        <f t="shared" si="1"/>
        <v>4514.9580000000005</v>
      </c>
      <c r="O51" s="166">
        <f t="shared" si="7"/>
        <v>3054.9580000000005</v>
      </c>
      <c r="P51" s="165">
        <f t="shared" si="2"/>
        <v>12.358083333333335</v>
      </c>
      <c r="Q51" s="165">
        <f t="shared" si="3"/>
        <v>8.992333333333331</v>
      </c>
      <c r="R51" s="165">
        <f aca="true" t="shared" si="9" ref="R51:T66">Q51-4</f>
        <v>4.992333333333331</v>
      </c>
      <c r="S51" s="165">
        <f t="shared" si="5"/>
        <v>16.221333333333344</v>
      </c>
      <c r="T51" s="165">
        <f t="shared" si="9"/>
        <v>12.221333333333344</v>
      </c>
    </row>
    <row r="52" spans="1:20" ht="15">
      <c r="A52">
        <v>50</v>
      </c>
      <c r="B52" s="165">
        <v>8.500000000000009</v>
      </c>
      <c r="C52" s="165">
        <v>10.1</v>
      </c>
      <c r="D52" s="165">
        <v>11.8</v>
      </c>
      <c r="E52" s="165">
        <v>13.73</v>
      </c>
      <c r="F52" s="165">
        <v>17.07</v>
      </c>
      <c r="G52" s="165">
        <v>16.35</v>
      </c>
      <c r="H52" s="165">
        <v>15.63</v>
      </c>
      <c r="I52" s="165">
        <v>14.55</v>
      </c>
      <c r="J52" s="165">
        <v>12.7</v>
      </c>
      <c r="K52" s="165">
        <v>10.78</v>
      </c>
      <c r="L52" s="165">
        <v>9.099999999999978</v>
      </c>
      <c r="M52" s="165">
        <v>8.079999999999993</v>
      </c>
      <c r="N52" s="166">
        <f t="shared" si="1"/>
        <v>4517.910000000001</v>
      </c>
      <c r="O52" s="166">
        <f t="shared" si="7"/>
        <v>3057.9100000000008</v>
      </c>
      <c r="P52" s="165">
        <f t="shared" si="2"/>
        <v>12.365833333333335</v>
      </c>
      <c r="Q52" s="165">
        <f t="shared" si="3"/>
        <v>8.89333333333333</v>
      </c>
      <c r="R52" s="165">
        <f t="shared" si="9"/>
        <v>4.893333333333331</v>
      </c>
      <c r="S52" s="165">
        <f t="shared" si="5"/>
        <v>16.35000000000001</v>
      </c>
      <c r="T52" s="165">
        <f t="shared" si="9"/>
        <v>12.350000000000009</v>
      </c>
    </row>
    <row r="53" spans="1:20" ht="15">
      <c r="A53">
        <v>51</v>
      </c>
      <c r="B53" s="165">
        <v>8.31300000000001</v>
      </c>
      <c r="C53" s="165">
        <v>10.007999999999992</v>
      </c>
      <c r="D53" s="165">
        <v>11.788000000000007</v>
      </c>
      <c r="E53" s="165">
        <v>13.809000000000024</v>
      </c>
      <c r="F53" s="165">
        <v>17.585</v>
      </c>
      <c r="G53" s="165">
        <v>16.596999999999994</v>
      </c>
      <c r="H53" s="165">
        <v>15.819000000000019</v>
      </c>
      <c r="I53" s="165">
        <v>14.671999999999978</v>
      </c>
      <c r="J53" s="165">
        <v>12.73</v>
      </c>
      <c r="K53" s="165">
        <v>10.72</v>
      </c>
      <c r="L53" s="165">
        <v>8.951999999999979</v>
      </c>
      <c r="M53" s="165">
        <v>7.861999999999993</v>
      </c>
      <c r="N53" s="166">
        <f t="shared" si="1"/>
        <v>4532.393000000001</v>
      </c>
      <c r="O53" s="166">
        <f t="shared" si="7"/>
        <v>3072.393000000001</v>
      </c>
      <c r="P53" s="165">
        <f t="shared" si="2"/>
        <v>12.404583333333335</v>
      </c>
      <c r="Q53" s="165">
        <f t="shared" si="3"/>
        <v>8.727666666666666</v>
      </c>
      <c r="R53" s="165">
        <f t="shared" si="9"/>
        <v>4.727666666666666</v>
      </c>
      <c r="S53" s="165">
        <f t="shared" si="5"/>
        <v>16.66700000000001</v>
      </c>
      <c r="T53" s="165">
        <f t="shared" si="9"/>
        <v>12.667000000000009</v>
      </c>
    </row>
    <row r="54" spans="1:20" ht="15">
      <c r="A54">
        <v>52</v>
      </c>
      <c r="B54" s="165">
        <v>8.12600000000001</v>
      </c>
      <c r="C54" s="165">
        <v>9.915999999999991</v>
      </c>
      <c r="D54" s="165">
        <v>11.776000000000007</v>
      </c>
      <c r="E54" s="165">
        <v>13.888000000000025</v>
      </c>
      <c r="F54" s="165">
        <v>18.1</v>
      </c>
      <c r="G54" s="165">
        <v>16.843999999999994</v>
      </c>
      <c r="H54" s="165">
        <v>16.008000000000017</v>
      </c>
      <c r="I54" s="165">
        <v>14.793999999999977</v>
      </c>
      <c r="J54" s="165">
        <v>12.76</v>
      </c>
      <c r="K54" s="165">
        <v>10.66</v>
      </c>
      <c r="L54" s="165">
        <v>8.803999999999979</v>
      </c>
      <c r="M54" s="165">
        <v>7.643999999999993</v>
      </c>
      <c r="N54" s="166">
        <f t="shared" si="1"/>
        <v>4546.876</v>
      </c>
      <c r="O54" s="166">
        <f t="shared" si="7"/>
        <v>3086.876</v>
      </c>
      <c r="P54" s="165">
        <f t="shared" si="2"/>
        <v>12.443333333333335</v>
      </c>
      <c r="Q54" s="165">
        <f t="shared" si="3"/>
        <v>8.561999999999998</v>
      </c>
      <c r="R54" s="165">
        <f t="shared" si="9"/>
        <v>4.561999999999998</v>
      </c>
      <c r="S54" s="165">
        <f t="shared" si="5"/>
        <v>16.98400000000001</v>
      </c>
      <c r="T54" s="165">
        <f t="shared" si="9"/>
        <v>12.984000000000009</v>
      </c>
    </row>
    <row r="55" spans="1:20" ht="15">
      <c r="A55">
        <v>53</v>
      </c>
      <c r="B55" s="165">
        <v>7.93900000000001</v>
      </c>
      <c r="C55" s="165">
        <v>9.823999999999991</v>
      </c>
      <c r="D55" s="165">
        <v>11.764000000000006</v>
      </c>
      <c r="E55" s="165">
        <v>13.967000000000025</v>
      </c>
      <c r="F55" s="165">
        <v>18.615</v>
      </c>
      <c r="G55" s="165">
        <v>17.090999999999994</v>
      </c>
      <c r="H55" s="165">
        <v>16.197000000000017</v>
      </c>
      <c r="I55" s="165">
        <v>14.915999999999977</v>
      </c>
      <c r="J55" s="165">
        <v>12.79</v>
      </c>
      <c r="K55" s="165">
        <v>10.6</v>
      </c>
      <c r="L55" s="165">
        <v>8.65599999999998</v>
      </c>
      <c r="M55" s="165">
        <v>7.425999999999993</v>
      </c>
      <c r="N55" s="166">
        <f t="shared" si="1"/>
        <v>4561.359</v>
      </c>
      <c r="O55" s="166">
        <f t="shared" si="7"/>
        <v>3101.3590000000004</v>
      </c>
      <c r="P55" s="165">
        <f t="shared" si="2"/>
        <v>12.482083333333335</v>
      </c>
      <c r="Q55" s="165">
        <f t="shared" si="3"/>
        <v>8.396333333333331</v>
      </c>
      <c r="R55" s="165">
        <f t="shared" si="9"/>
        <v>4.396333333333331</v>
      </c>
      <c r="S55" s="165">
        <f t="shared" si="5"/>
        <v>17.30100000000001</v>
      </c>
      <c r="T55" s="165">
        <f t="shared" si="9"/>
        <v>13.301000000000009</v>
      </c>
    </row>
    <row r="56" spans="1:20" ht="15">
      <c r="A56">
        <v>54</v>
      </c>
      <c r="B56" s="165">
        <v>7.7520000000000095</v>
      </c>
      <c r="C56" s="165">
        <v>9.73199999999999</v>
      </c>
      <c r="D56" s="165">
        <v>11.752000000000006</v>
      </c>
      <c r="E56" s="165">
        <v>14.046000000000026</v>
      </c>
      <c r="F56" s="165">
        <v>19.13</v>
      </c>
      <c r="G56" s="165">
        <v>17.337999999999994</v>
      </c>
      <c r="H56" s="165">
        <v>16.386000000000017</v>
      </c>
      <c r="I56" s="165">
        <v>15.037999999999977</v>
      </c>
      <c r="J56" s="165">
        <v>12.82</v>
      </c>
      <c r="K56" s="165">
        <v>10.54</v>
      </c>
      <c r="L56" s="165">
        <v>8.50799999999998</v>
      </c>
      <c r="M56" s="165">
        <v>7.207999999999993</v>
      </c>
      <c r="N56" s="166">
        <f t="shared" si="1"/>
        <v>4575.842000000001</v>
      </c>
      <c r="O56" s="166">
        <f t="shared" si="7"/>
        <v>3115.8420000000006</v>
      </c>
      <c r="P56" s="165">
        <f t="shared" si="2"/>
        <v>12.520833333333336</v>
      </c>
      <c r="Q56" s="165">
        <f t="shared" si="3"/>
        <v>8.230666666666664</v>
      </c>
      <c r="R56" s="165">
        <f t="shared" si="9"/>
        <v>4.230666666666664</v>
      </c>
      <c r="S56" s="165">
        <f t="shared" si="5"/>
        <v>17.61800000000001</v>
      </c>
      <c r="T56" s="165">
        <f t="shared" si="9"/>
        <v>13.61800000000001</v>
      </c>
    </row>
    <row r="57" spans="1:20" ht="15">
      <c r="A57">
        <v>55</v>
      </c>
      <c r="B57" s="165">
        <v>7.565000000000009</v>
      </c>
      <c r="C57" s="165">
        <v>9.63999999999999</v>
      </c>
      <c r="D57" s="165">
        <v>11.74</v>
      </c>
      <c r="E57" s="165">
        <v>14.125</v>
      </c>
      <c r="F57" s="165">
        <v>19.645</v>
      </c>
      <c r="G57" s="165">
        <v>17.585</v>
      </c>
      <c r="H57" s="165">
        <v>16.575</v>
      </c>
      <c r="I57" s="165">
        <v>15.16</v>
      </c>
      <c r="J57" s="165">
        <v>12.85</v>
      </c>
      <c r="K57" s="165">
        <v>10.48</v>
      </c>
      <c r="L57" s="165">
        <v>8.35999999999998</v>
      </c>
      <c r="M57" s="165">
        <v>6.989999999999993</v>
      </c>
      <c r="N57" s="166">
        <f t="shared" si="1"/>
        <v>4590.325</v>
      </c>
      <c r="O57" s="166">
        <f t="shared" si="7"/>
        <v>3130.325</v>
      </c>
      <c r="P57" s="165">
        <f t="shared" si="2"/>
        <v>12.559583333333334</v>
      </c>
      <c r="Q57" s="165">
        <f t="shared" si="3"/>
        <v>8.064999999999998</v>
      </c>
      <c r="R57" s="165">
        <f t="shared" si="9"/>
        <v>4.064999999999998</v>
      </c>
      <c r="S57" s="165">
        <f t="shared" si="5"/>
        <v>17.93500000000001</v>
      </c>
      <c r="T57" s="165">
        <f t="shared" si="9"/>
        <v>13.93500000000001</v>
      </c>
    </row>
    <row r="58" spans="1:20" ht="15">
      <c r="A58">
        <v>56</v>
      </c>
      <c r="B58" s="165">
        <v>7.378000000000009</v>
      </c>
      <c r="C58" s="165">
        <v>9.54799999999999</v>
      </c>
      <c r="D58" s="165">
        <v>11.728000000000005</v>
      </c>
      <c r="E58" s="165">
        <v>14.204000000000027</v>
      </c>
      <c r="F58" s="165">
        <v>20.16</v>
      </c>
      <c r="G58" s="165">
        <v>17.831999999999994</v>
      </c>
      <c r="H58" s="165">
        <v>16.764000000000017</v>
      </c>
      <c r="I58" s="165">
        <v>15.281999999999977</v>
      </c>
      <c r="J58" s="165">
        <v>12.88</v>
      </c>
      <c r="K58" s="165">
        <v>10.42</v>
      </c>
      <c r="L58" s="165">
        <v>8.21199999999998</v>
      </c>
      <c r="M58" s="165">
        <v>6.771999999999993</v>
      </c>
      <c r="N58" s="166">
        <f t="shared" si="1"/>
        <v>4604.808000000001</v>
      </c>
      <c r="O58" s="166">
        <f t="shared" si="7"/>
        <v>3144.808000000001</v>
      </c>
      <c r="P58" s="165">
        <f t="shared" si="2"/>
        <v>12.598333333333336</v>
      </c>
      <c r="Q58" s="165">
        <f t="shared" si="3"/>
        <v>7.899333333333331</v>
      </c>
      <c r="R58" s="165">
        <f t="shared" si="9"/>
        <v>3.899333333333331</v>
      </c>
      <c r="S58" s="165">
        <f t="shared" si="5"/>
        <v>18.25200000000001</v>
      </c>
      <c r="T58" s="165">
        <f t="shared" si="9"/>
        <v>14.25200000000001</v>
      </c>
    </row>
    <row r="59" spans="1:20" ht="15">
      <c r="A59">
        <v>57</v>
      </c>
      <c r="B59" s="165">
        <v>7.191000000000009</v>
      </c>
      <c r="C59" s="165">
        <v>9.455999999999989</v>
      </c>
      <c r="D59" s="165">
        <v>11.716000000000005</v>
      </c>
      <c r="E59" s="165">
        <v>14.283000000000028</v>
      </c>
      <c r="F59" s="165">
        <v>20.675</v>
      </c>
      <c r="G59" s="165">
        <v>18.078999999999994</v>
      </c>
      <c r="H59" s="165">
        <v>16.953000000000017</v>
      </c>
      <c r="I59" s="165">
        <v>15.403999999999977</v>
      </c>
      <c r="J59" s="165">
        <v>12.91</v>
      </c>
      <c r="K59" s="165">
        <v>10.36</v>
      </c>
      <c r="L59" s="165">
        <v>8.06399999999998</v>
      </c>
      <c r="M59" s="165">
        <v>6.553999999999993</v>
      </c>
      <c r="N59" s="166">
        <f t="shared" si="1"/>
        <v>4619.291000000001</v>
      </c>
      <c r="O59" s="166">
        <f t="shared" si="7"/>
        <v>3159.291000000001</v>
      </c>
      <c r="P59" s="165">
        <f t="shared" si="2"/>
        <v>12.637083333333337</v>
      </c>
      <c r="Q59" s="165">
        <f>AVERAGE(M59,B59,C59)</f>
        <v>7.733666666666664</v>
      </c>
      <c r="R59" s="165">
        <f t="shared" si="9"/>
        <v>3.7336666666666636</v>
      </c>
      <c r="S59" s="165">
        <f t="shared" si="5"/>
        <v>18.56900000000001</v>
      </c>
      <c r="T59" s="165">
        <f t="shared" si="9"/>
        <v>14.56900000000001</v>
      </c>
    </row>
    <row r="60" spans="1:20" ht="15">
      <c r="A60">
        <v>58</v>
      </c>
      <c r="B60" s="165">
        <v>7.004000000000008</v>
      </c>
      <c r="C60" s="165">
        <v>9.363999999999988</v>
      </c>
      <c r="D60" s="165">
        <v>11.704000000000004</v>
      </c>
      <c r="E60" s="165">
        <v>14.362000000000029</v>
      </c>
      <c r="F60" s="165">
        <v>21.19</v>
      </c>
      <c r="G60" s="165">
        <v>18.325999999999993</v>
      </c>
      <c r="H60" s="165">
        <v>17.142000000000017</v>
      </c>
      <c r="I60" s="165">
        <v>15.525999999999977</v>
      </c>
      <c r="J60" s="165">
        <v>12.94</v>
      </c>
      <c r="K60" s="165">
        <v>10.3</v>
      </c>
      <c r="L60" s="165">
        <v>7.915999999999981</v>
      </c>
      <c r="M60" s="165">
        <v>6.335999999999993</v>
      </c>
      <c r="N60" s="166">
        <f t="shared" si="1"/>
        <v>4633.774</v>
      </c>
      <c r="O60" s="166">
        <f t="shared" si="7"/>
        <v>3173.7740000000003</v>
      </c>
      <c r="P60" s="165">
        <f t="shared" si="2"/>
        <v>12.675833333333335</v>
      </c>
      <c r="Q60" s="165">
        <f t="shared" si="3"/>
        <v>7.567999999999997</v>
      </c>
      <c r="R60" s="165">
        <f t="shared" si="9"/>
        <v>3.567999999999997</v>
      </c>
      <c r="S60" s="165">
        <f t="shared" si="5"/>
        <v>18.88600000000001</v>
      </c>
      <c r="T60" s="165">
        <f t="shared" si="9"/>
        <v>14.88600000000001</v>
      </c>
    </row>
    <row r="61" spans="1:20" ht="15">
      <c r="A61">
        <v>59</v>
      </c>
      <c r="B61" s="165">
        <v>6.817000000000008</v>
      </c>
      <c r="C61" s="165">
        <v>9.271999999999988</v>
      </c>
      <c r="D61" s="165">
        <v>11.692000000000004</v>
      </c>
      <c r="E61" s="165">
        <v>14.44100000000003</v>
      </c>
      <c r="F61" s="165">
        <v>21.705</v>
      </c>
      <c r="G61" s="165">
        <v>18.572999999999993</v>
      </c>
      <c r="H61" s="165">
        <v>17.331000000000017</v>
      </c>
      <c r="I61" s="165">
        <v>15.647999999999977</v>
      </c>
      <c r="J61" s="165">
        <v>12.97</v>
      </c>
      <c r="K61" s="165">
        <v>10.24</v>
      </c>
      <c r="L61" s="165">
        <v>7.767999999999981</v>
      </c>
      <c r="M61" s="165">
        <v>6.117999999999993</v>
      </c>
      <c r="N61" s="166">
        <f t="shared" si="1"/>
        <v>4648.256999999999</v>
      </c>
      <c r="O61" s="166">
        <f t="shared" si="7"/>
        <v>3188.2569999999987</v>
      </c>
      <c r="P61" s="165">
        <f t="shared" si="2"/>
        <v>12.714583333333335</v>
      </c>
      <c r="Q61" s="165">
        <f t="shared" si="3"/>
        <v>7.40233333333333</v>
      </c>
      <c r="R61" s="165">
        <f t="shared" si="9"/>
        <v>3.4023333333333303</v>
      </c>
      <c r="S61" s="165">
        <f t="shared" si="5"/>
        <v>19.20300000000001</v>
      </c>
      <c r="T61" s="165">
        <f t="shared" si="9"/>
        <v>15.20300000000001</v>
      </c>
    </row>
    <row r="62" spans="1:20" ht="15">
      <c r="A62">
        <v>60</v>
      </c>
      <c r="B62" s="165">
        <v>6.630000000000008</v>
      </c>
      <c r="C62" s="165">
        <v>9.179999999999987</v>
      </c>
      <c r="D62" s="165">
        <v>11.68</v>
      </c>
      <c r="E62" s="165">
        <v>14.52</v>
      </c>
      <c r="F62" s="165">
        <v>22.22</v>
      </c>
      <c r="G62" s="165">
        <v>18.82</v>
      </c>
      <c r="H62" s="165">
        <v>17.52</v>
      </c>
      <c r="I62" s="165">
        <v>15.77</v>
      </c>
      <c r="J62" s="165">
        <v>13</v>
      </c>
      <c r="K62" s="165">
        <v>10.18</v>
      </c>
      <c r="L62" s="165">
        <v>7.6199999999999815</v>
      </c>
      <c r="M62" s="165">
        <v>5.899999999999993</v>
      </c>
      <c r="N62" s="166">
        <f t="shared" si="1"/>
        <v>4662.740000000001</v>
      </c>
      <c r="O62" s="166">
        <f t="shared" si="7"/>
        <v>3202.7400000000007</v>
      </c>
      <c r="P62" s="165">
        <f t="shared" si="2"/>
        <v>12.753333333333336</v>
      </c>
      <c r="Q62" s="165">
        <f t="shared" si="3"/>
        <v>7.236666666666662</v>
      </c>
      <c r="R62" s="165">
        <f t="shared" si="9"/>
        <v>3.236666666666662</v>
      </c>
      <c r="S62" s="165">
        <f t="shared" si="5"/>
        <v>19.52000000000001</v>
      </c>
      <c r="T62" s="165">
        <f t="shared" si="9"/>
        <v>15.52000000000001</v>
      </c>
    </row>
    <row r="63" spans="1:20" ht="15">
      <c r="A63">
        <v>61</v>
      </c>
      <c r="B63" s="165">
        <v>5.967000000000008</v>
      </c>
      <c r="C63" s="165">
        <v>8.994999999999987</v>
      </c>
      <c r="D63" s="165">
        <v>11.659000000000002</v>
      </c>
      <c r="E63" s="165">
        <v>14.67800000000003</v>
      </c>
      <c r="F63" s="165">
        <v>22.39800000000002</v>
      </c>
      <c r="G63" s="165">
        <v>19.337999999999994</v>
      </c>
      <c r="H63" s="165">
        <v>18.168000000000017</v>
      </c>
      <c r="I63" s="165">
        <v>16.035999999999976</v>
      </c>
      <c r="J63" s="165">
        <v>13.057000000000004</v>
      </c>
      <c r="K63" s="165">
        <v>10.067</v>
      </c>
      <c r="L63" s="165">
        <v>7.1679999999999815</v>
      </c>
      <c r="M63" s="165">
        <v>5.309999999999993</v>
      </c>
      <c r="N63" s="166">
        <f t="shared" si="1"/>
        <v>4656.845</v>
      </c>
      <c r="O63" s="166">
        <f t="shared" si="7"/>
        <v>3196.8450000000003</v>
      </c>
      <c r="P63" s="165">
        <f t="shared" si="2"/>
        <v>12.736750000000002</v>
      </c>
      <c r="Q63" s="165">
        <f t="shared" si="3"/>
        <v>6.757333333333329</v>
      </c>
      <c r="R63" s="165">
        <f t="shared" si="9"/>
        <v>2.757333333333329</v>
      </c>
      <c r="S63" s="165">
        <f t="shared" si="5"/>
        <v>19.96800000000001</v>
      </c>
      <c r="T63" s="165">
        <f t="shared" si="9"/>
        <v>15.96800000000001</v>
      </c>
    </row>
    <row r="64" spans="1:20" ht="15">
      <c r="A64">
        <v>62</v>
      </c>
      <c r="B64" s="165">
        <v>5.304000000000007</v>
      </c>
      <c r="C64" s="165">
        <v>8.809999999999986</v>
      </c>
      <c r="D64" s="165">
        <v>11.638000000000002</v>
      </c>
      <c r="E64" s="165">
        <v>14.836000000000029</v>
      </c>
      <c r="F64" s="165">
        <v>22.576000000000022</v>
      </c>
      <c r="G64" s="165">
        <v>19.855999999999995</v>
      </c>
      <c r="H64" s="165">
        <v>18.816000000000017</v>
      </c>
      <c r="I64" s="165">
        <v>16.30199999999998</v>
      </c>
      <c r="J64" s="165">
        <v>13.114000000000004</v>
      </c>
      <c r="K64" s="165">
        <v>9.954</v>
      </c>
      <c r="L64" s="165">
        <v>6.7159999999999815</v>
      </c>
      <c r="M64" s="165">
        <v>4.7199999999999935</v>
      </c>
      <c r="N64" s="166">
        <f t="shared" si="1"/>
        <v>4650.95</v>
      </c>
      <c r="O64" s="166">
        <f t="shared" si="7"/>
        <v>3190.95</v>
      </c>
      <c r="P64" s="165">
        <f t="shared" si="2"/>
        <v>12.72016666666667</v>
      </c>
      <c r="Q64" s="165">
        <f t="shared" si="3"/>
        <v>6.277999999999996</v>
      </c>
      <c r="R64" s="165">
        <f t="shared" si="9"/>
        <v>2.277999999999996</v>
      </c>
      <c r="S64" s="165">
        <f t="shared" si="5"/>
        <v>20.41600000000001</v>
      </c>
      <c r="T64" s="165">
        <f t="shared" si="9"/>
        <v>16.41600000000001</v>
      </c>
    </row>
    <row r="65" spans="1:20" ht="15">
      <c r="A65">
        <v>63</v>
      </c>
      <c r="B65" s="165">
        <v>4.641000000000007</v>
      </c>
      <c r="C65" s="165">
        <v>8.624999999999986</v>
      </c>
      <c r="D65" s="165">
        <v>11.617</v>
      </c>
      <c r="E65" s="165">
        <v>14.994000000000028</v>
      </c>
      <c r="F65" s="165">
        <v>22.754000000000023</v>
      </c>
      <c r="G65" s="165">
        <v>20.373999999999995</v>
      </c>
      <c r="H65" s="165">
        <v>19.464000000000016</v>
      </c>
      <c r="I65" s="165">
        <v>16.567999999999977</v>
      </c>
      <c r="J65" s="165">
        <v>13.171000000000005</v>
      </c>
      <c r="K65" s="165">
        <v>9.841000000000001</v>
      </c>
      <c r="L65" s="165">
        <v>6.263999999999982</v>
      </c>
      <c r="M65" s="165">
        <v>4.129999999999994</v>
      </c>
      <c r="N65" s="166">
        <f t="shared" si="1"/>
        <v>4645.055</v>
      </c>
      <c r="O65" s="166">
        <f t="shared" si="7"/>
        <v>3185.0550000000003</v>
      </c>
      <c r="P65" s="165">
        <f t="shared" si="2"/>
        <v>12.703583333333334</v>
      </c>
      <c r="Q65" s="165">
        <f t="shared" si="3"/>
        <v>5.798666666666662</v>
      </c>
      <c r="R65" s="165">
        <f t="shared" si="9"/>
        <v>1.7986666666666622</v>
      </c>
      <c r="S65" s="165">
        <f t="shared" si="5"/>
        <v>20.86400000000001</v>
      </c>
      <c r="T65" s="165">
        <f t="shared" si="9"/>
        <v>16.86400000000001</v>
      </c>
    </row>
    <row r="66" spans="1:20" ht="15">
      <c r="A66">
        <v>64</v>
      </c>
      <c r="B66" s="165">
        <v>3.978000000000007</v>
      </c>
      <c r="C66" s="165">
        <v>8.439999999999985</v>
      </c>
      <c r="D66" s="165">
        <v>11.596</v>
      </c>
      <c r="E66" s="165">
        <v>15.152000000000028</v>
      </c>
      <c r="F66" s="165">
        <v>22.932000000000023</v>
      </c>
      <c r="G66" s="165">
        <v>20.891999999999996</v>
      </c>
      <c r="H66" s="165">
        <v>20.112000000000016</v>
      </c>
      <c r="I66" s="165">
        <v>16.833999999999975</v>
      </c>
      <c r="J66" s="165">
        <v>13.228000000000005</v>
      </c>
      <c r="K66" s="165">
        <v>9.728000000000002</v>
      </c>
      <c r="L66" s="165">
        <v>5.811999999999982</v>
      </c>
      <c r="M66" s="165">
        <v>3.539999999999994</v>
      </c>
      <c r="N66" s="166">
        <f t="shared" si="1"/>
        <v>4639.160000000001</v>
      </c>
      <c r="O66" s="166">
        <f aca="true" t="shared" si="10" ref="O66:O92">N66-(daysyear*4)</f>
        <v>3179.1600000000008</v>
      </c>
      <c r="P66" s="165">
        <f t="shared" si="2"/>
        <v>12.687000000000003</v>
      </c>
      <c r="Q66" s="165">
        <f t="shared" si="3"/>
        <v>5.319333333333328</v>
      </c>
      <c r="R66" s="165">
        <f t="shared" si="9"/>
        <v>1.3193333333333284</v>
      </c>
      <c r="S66" s="165">
        <f t="shared" si="5"/>
        <v>21.312000000000012</v>
      </c>
      <c r="T66" s="165">
        <f t="shared" si="9"/>
        <v>17.312000000000012</v>
      </c>
    </row>
    <row r="67" spans="1:20" ht="15">
      <c r="A67">
        <v>65</v>
      </c>
      <c r="B67" s="165">
        <v>3.3150000000000066</v>
      </c>
      <c r="C67" s="165">
        <v>8.254999999999985</v>
      </c>
      <c r="D67" s="165">
        <v>11.575</v>
      </c>
      <c r="E67" s="165">
        <v>15.31</v>
      </c>
      <c r="F67" s="165">
        <v>23.11</v>
      </c>
      <c r="G67" s="165">
        <v>21.41</v>
      </c>
      <c r="H67" s="165">
        <v>20.76</v>
      </c>
      <c r="I67" s="165">
        <v>17.1</v>
      </c>
      <c r="J67" s="165">
        <v>13.285</v>
      </c>
      <c r="K67" s="165">
        <v>9.615</v>
      </c>
      <c r="L67" s="165">
        <v>5.359999999999982</v>
      </c>
      <c r="M67" s="165">
        <v>2.949999999999994</v>
      </c>
      <c r="N67" s="166">
        <f>(B67*31)+(C67*28)+(D67*31)+(E67*30)+(F67*31)+(G67*30)+(H67*31)+(I67*31)+(J67*30)+(K67*31)+(L67*30)+(M67*31)</f>
        <v>4633.265</v>
      </c>
      <c r="O67" s="166">
        <f t="shared" si="10"/>
        <v>3173.2650000000003</v>
      </c>
      <c r="P67" s="165">
        <f aca="true" t="shared" si="11" ref="P67:P92">AVERAGE(B67:M67)</f>
        <v>12.670416666666668</v>
      </c>
      <c r="Q67" s="165">
        <f aca="true" t="shared" si="12" ref="Q67:Q88">AVERAGE(M67,B67,C67)</f>
        <v>4.839999999999995</v>
      </c>
      <c r="R67" s="165">
        <f aca="true" t="shared" si="13" ref="R67:T82">Q67-4</f>
        <v>0.8399999999999954</v>
      </c>
      <c r="S67" s="165">
        <f aca="true" t="shared" si="14" ref="S67:S92">AVERAGE(H67,F67,G67)</f>
        <v>21.76000000000001</v>
      </c>
      <c r="T67" s="165">
        <f t="shared" si="13"/>
        <v>17.76000000000001</v>
      </c>
    </row>
    <row r="68" spans="1:20" ht="15">
      <c r="A68">
        <v>66</v>
      </c>
      <c r="B68" s="165">
        <v>2.6520000000000064</v>
      </c>
      <c r="C68" s="165">
        <v>8.069999999999984</v>
      </c>
      <c r="D68" s="165">
        <v>11.553999999999998</v>
      </c>
      <c r="E68" s="165">
        <v>15.468000000000027</v>
      </c>
      <c r="F68" s="165">
        <v>23.288000000000025</v>
      </c>
      <c r="G68" s="165">
        <v>21.927999999999997</v>
      </c>
      <c r="H68" s="165">
        <v>21.408000000000015</v>
      </c>
      <c r="I68" s="165">
        <v>17.36599999999997</v>
      </c>
      <c r="J68" s="165">
        <v>13.342000000000006</v>
      </c>
      <c r="K68" s="165">
        <v>9.502000000000002</v>
      </c>
      <c r="L68" s="165">
        <v>4.907999999999982</v>
      </c>
      <c r="M68" s="165">
        <v>2.359999999999994</v>
      </c>
      <c r="N68" s="166">
        <f aca="true" t="shared" si="15" ref="N68:N92">(B68*31)+(C68*28)+(D68*31)+(E68*30)+(F68*31)+(G68*30)+(H68*31)+(I68*31)+(J68*30)+(K68*31)+(L68*30)+(M68*31)</f>
        <v>4627.370000000001</v>
      </c>
      <c r="O68" s="166">
        <f t="shared" si="10"/>
        <v>3167.370000000001</v>
      </c>
      <c r="P68" s="165">
        <f t="shared" si="11"/>
        <v>12.653833333333333</v>
      </c>
      <c r="Q68" s="165">
        <f t="shared" si="12"/>
        <v>4.360666666666662</v>
      </c>
      <c r="R68" s="165">
        <f t="shared" si="13"/>
        <v>0.3606666666666616</v>
      </c>
      <c r="S68" s="165">
        <f t="shared" si="14"/>
        <v>22.208000000000013</v>
      </c>
      <c r="T68" s="165">
        <f t="shared" si="13"/>
        <v>18.208000000000013</v>
      </c>
    </row>
    <row r="69" spans="1:20" ht="15">
      <c r="A69">
        <v>67</v>
      </c>
      <c r="B69" s="165">
        <v>1.9890000000000063</v>
      </c>
      <c r="C69" s="165">
        <v>7.884999999999985</v>
      </c>
      <c r="D69" s="165">
        <v>11.532999999999998</v>
      </c>
      <c r="E69" s="165">
        <v>15.626000000000026</v>
      </c>
      <c r="F69" s="165">
        <v>23.466000000000026</v>
      </c>
      <c r="G69" s="165">
        <v>22.445999999999998</v>
      </c>
      <c r="H69" s="165">
        <v>22.056000000000015</v>
      </c>
      <c r="I69" s="165">
        <v>17.63199999999997</v>
      </c>
      <c r="J69" s="165">
        <v>13.399000000000006</v>
      </c>
      <c r="K69" s="165">
        <v>9.389000000000003</v>
      </c>
      <c r="L69" s="165">
        <v>4.455999999999982</v>
      </c>
      <c r="M69" s="165">
        <v>1.769999999999994</v>
      </c>
      <c r="N69" s="166">
        <f t="shared" si="15"/>
        <v>4621.475</v>
      </c>
      <c r="O69" s="166">
        <f t="shared" si="10"/>
        <v>3161.4750000000004</v>
      </c>
      <c r="P69" s="165">
        <f t="shared" si="11"/>
        <v>12.63725</v>
      </c>
      <c r="Q69" s="165">
        <f t="shared" si="12"/>
        <v>3.881333333333328</v>
      </c>
      <c r="R69" s="165">
        <f t="shared" si="13"/>
        <v>-0.1186666666666718</v>
      </c>
      <c r="S69" s="165">
        <f t="shared" si="14"/>
        <v>22.656000000000017</v>
      </c>
      <c r="T69" s="165">
        <f t="shared" si="13"/>
        <v>18.656000000000017</v>
      </c>
    </row>
    <row r="70" spans="1:20" ht="15">
      <c r="A70">
        <v>68</v>
      </c>
      <c r="B70" s="165">
        <v>1.3260000000000063</v>
      </c>
      <c r="C70" s="165">
        <v>7.699999999999985</v>
      </c>
      <c r="D70" s="165">
        <v>11.511999999999997</v>
      </c>
      <c r="E70" s="165">
        <v>15.784000000000026</v>
      </c>
      <c r="F70" s="165">
        <v>23.644000000000027</v>
      </c>
      <c r="G70" s="165">
        <v>22.964</v>
      </c>
      <c r="H70" s="165">
        <v>22.704000000000015</v>
      </c>
      <c r="I70" s="165">
        <v>17.897999999999968</v>
      </c>
      <c r="J70" s="165">
        <v>13.456000000000007</v>
      </c>
      <c r="K70" s="165">
        <v>9.276000000000003</v>
      </c>
      <c r="L70" s="165">
        <v>4.003999999999982</v>
      </c>
      <c r="M70" s="165">
        <v>1.179999999999994</v>
      </c>
      <c r="N70" s="166">
        <f t="shared" si="15"/>
        <v>4615.580000000002</v>
      </c>
      <c r="O70" s="166">
        <f t="shared" si="10"/>
        <v>3155.5800000000017</v>
      </c>
      <c r="P70" s="165">
        <f t="shared" si="11"/>
        <v>12.62066666666667</v>
      </c>
      <c r="Q70" s="165">
        <f t="shared" si="12"/>
        <v>3.4019999999999953</v>
      </c>
      <c r="R70" s="165">
        <f t="shared" si="13"/>
        <v>-0.5980000000000047</v>
      </c>
      <c r="S70" s="165">
        <f t="shared" si="14"/>
        <v>23.104000000000013</v>
      </c>
      <c r="T70" s="165">
        <f t="shared" si="13"/>
        <v>19.104000000000013</v>
      </c>
    </row>
    <row r="71" spans="1:20" ht="15">
      <c r="A71">
        <v>69</v>
      </c>
      <c r="B71" s="165">
        <v>0.6630000000000063</v>
      </c>
      <c r="C71" s="165">
        <v>7.5149999999999855</v>
      </c>
      <c r="D71" s="165">
        <v>11.490999999999996</v>
      </c>
      <c r="E71" s="165">
        <v>15.942000000000025</v>
      </c>
      <c r="F71" s="165">
        <v>23.822000000000028</v>
      </c>
      <c r="G71" s="165">
        <v>23.482</v>
      </c>
      <c r="H71" s="165">
        <v>23.352000000000015</v>
      </c>
      <c r="I71" s="165">
        <v>18.163999999999966</v>
      </c>
      <c r="J71" s="165">
        <v>13.513000000000007</v>
      </c>
      <c r="K71" s="165">
        <v>9.163000000000004</v>
      </c>
      <c r="L71" s="165">
        <v>3.551999999999982</v>
      </c>
      <c r="M71" s="165">
        <v>0.5899999999999939</v>
      </c>
      <c r="N71" s="166">
        <f t="shared" si="15"/>
        <v>4609.685</v>
      </c>
      <c r="O71" s="166">
        <f t="shared" si="10"/>
        <v>3149.6850000000004</v>
      </c>
      <c r="P71" s="165">
        <f t="shared" si="11"/>
        <v>12.604083333333337</v>
      </c>
      <c r="Q71" s="165">
        <f t="shared" si="12"/>
        <v>2.9226666666666623</v>
      </c>
      <c r="R71" s="165">
        <f t="shared" si="13"/>
        <v>-1.0773333333333377</v>
      </c>
      <c r="S71" s="165">
        <f t="shared" si="14"/>
        <v>23.55200000000001</v>
      </c>
      <c r="T71" s="165">
        <f t="shared" si="13"/>
        <v>19.55200000000001</v>
      </c>
    </row>
    <row r="72" spans="1:20" ht="15">
      <c r="A72">
        <v>70</v>
      </c>
      <c r="B72" s="165">
        <v>6.217248937900877E-15</v>
      </c>
      <c r="C72" s="165">
        <v>7.329999999999986</v>
      </c>
      <c r="D72" s="165">
        <v>11.47</v>
      </c>
      <c r="E72" s="165">
        <v>16.1</v>
      </c>
      <c r="F72" s="165">
        <v>24</v>
      </c>
      <c r="G72" s="165">
        <v>24</v>
      </c>
      <c r="H72" s="165">
        <v>24</v>
      </c>
      <c r="I72" s="165">
        <v>18.43</v>
      </c>
      <c r="J72" s="165">
        <v>13.57</v>
      </c>
      <c r="K72" s="165">
        <v>9.05</v>
      </c>
      <c r="L72" s="165">
        <v>3.099999999999982</v>
      </c>
      <c r="M72" s="165">
        <v>-6.217248937900877E-15</v>
      </c>
      <c r="N72" s="166">
        <f t="shared" si="15"/>
        <v>4603.79</v>
      </c>
      <c r="O72" s="166">
        <f t="shared" si="10"/>
        <v>3143.79</v>
      </c>
      <c r="P72" s="165">
        <f t="shared" si="11"/>
        <v>12.587500000000004</v>
      </c>
      <c r="Q72" s="165">
        <f t="shared" si="12"/>
        <v>2.4433333333333285</v>
      </c>
      <c r="R72" s="165">
        <f t="shared" si="13"/>
        <v>-1.5566666666666715</v>
      </c>
      <c r="S72" s="165">
        <f t="shared" si="14"/>
        <v>24.000000000000014</v>
      </c>
      <c r="T72" s="165">
        <f t="shared" si="13"/>
        <v>20.000000000000014</v>
      </c>
    </row>
    <row r="73" spans="1:20" ht="15">
      <c r="A73">
        <v>71</v>
      </c>
      <c r="B73" s="165">
        <v>6.217248937900877E-15</v>
      </c>
      <c r="C73" s="165">
        <v>6.596999999999986</v>
      </c>
      <c r="D73" s="165">
        <v>11.41</v>
      </c>
      <c r="E73" s="165">
        <v>16.89</v>
      </c>
      <c r="F73" s="165">
        <v>24</v>
      </c>
      <c r="G73" s="165">
        <v>24</v>
      </c>
      <c r="H73" s="165">
        <v>24</v>
      </c>
      <c r="I73" s="165">
        <v>18.986999999999963</v>
      </c>
      <c r="J73" s="165">
        <v>13.74</v>
      </c>
      <c r="K73" s="165">
        <v>8.662000000000004</v>
      </c>
      <c r="L73" s="165">
        <v>2.789999999999982</v>
      </c>
      <c r="M73" s="165">
        <v>-6.217248937900877E-15</v>
      </c>
      <c r="N73" s="166">
        <f t="shared" si="15"/>
        <v>4606.145</v>
      </c>
      <c r="O73" s="166">
        <f t="shared" si="10"/>
        <v>3146.1450000000004</v>
      </c>
      <c r="P73" s="165">
        <f t="shared" si="11"/>
        <v>12.589666666666668</v>
      </c>
      <c r="Q73" s="165">
        <f t="shared" si="12"/>
        <v>2.1989999999999954</v>
      </c>
      <c r="R73" s="165">
        <f t="shared" si="13"/>
        <v>-1.8010000000000046</v>
      </c>
      <c r="S73" s="165">
        <f t="shared" si="14"/>
        <v>24.000000000000014</v>
      </c>
      <c r="T73" s="165">
        <f t="shared" si="13"/>
        <v>20.000000000000014</v>
      </c>
    </row>
    <row r="74" spans="1:20" ht="15">
      <c r="A74">
        <v>72</v>
      </c>
      <c r="B74" s="165">
        <v>6.217248937900877E-15</v>
      </c>
      <c r="C74" s="165">
        <v>5.863999999999987</v>
      </c>
      <c r="D74" s="165">
        <v>11.35</v>
      </c>
      <c r="E74" s="165">
        <v>17.68</v>
      </c>
      <c r="F74" s="165">
        <v>24</v>
      </c>
      <c r="G74" s="165">
        <v>24</v>
      </c>
      <c r="H74" s="165">
        <v>24</v>
      </c>
      <c r="I74" s="165">
        <v>19.54399999999996</v>
      </c>
      <c r="J74" s="165">
        <v>13.91</v>
      </c>
      <c r="K74" s="165">
        <v>8.274000000000004</v>
      </c>
      <c r="L74" s="165">
        <v>2.4799999999999818</v>
      </c>
      <c r="M74" s="165">
        <v>-6.217248937900877E-15</v>
      </c>
      <c r="N74" s="166">
        <f t="shared" si="15"/>
        <v>4608.5</v>
      </c>
      <c r="O74" s="166">
        <f t="shared" si="10"/>
        <v>3148.5</v>
      </c>
      <c r="P74" s="165">
        <f t="shared" si="11"/>
        <v>12.591833333333334</v>
      </c>
      <c r="Q74" s="165">
        <f t="shared" si="12"/>
        <v>1.9546666666666621</v>
      </c>
      <c r="R74" s="165">
        <f t="shared" si="13"/>
        <v>-2.045333333333338</v>
      </c>
      <c r="S74" s="165">
        <f t="shared" si="14"/>
        <v>24.000000000000014</v>
      </c>
      <c r="T74" s="165">
        <f t="shared" si="13"/>
        <v>20.000000000000014</v>
      </c>
    </row>
    <row r="75" spans="1:20" ht="15">
      <c r="A75">
        <v>73</v>
      </c>
      <c r="B75" s="165">
        <v>6.217248937900877E-15</v>
      </c>
      <c r="C75" s="165">
        <v>5.130999999999987</v>
      </c>
      <c r="D75" s="165">
        <v>11.29</v>
      </c>
      <c r="E75" s="165">
        <v>18.47</v>
      </c>
      <c r="F75" s="165">
        <v>24</v>
      </c>
      <c r="G75" s="165">
        <v>24</v>
      </c>
      <c r="H75" s="165">
        <v>24</v>
      </c>
      <c r="I75" s="165">
        <v>20.10099999999996</v>
      </c>
      <c r="J75" s="165">
        <v>14.08</v>
      </c>
      <c r="K75" s="165">
        <v>7.886000000000005</v>
      </c>
      <c r="L75" s="165">
        <v>2.1699999999999817</v>
      </c>
      <c r="M75" s="165">
        <v>-6.217248937900877E-15</v>
      </c>
      <c r="N75" s="166">
        <f t="shared" si="15"/>
        <v>4610.8550000000005</v>
      </c>
      <c r="O75" s="166">
        <f t="shared" si="10"/>
        <v>3150.8550000000005</v>
      </c>
      <c r="P75" s="165">
        <f t="shared" si="11"/>
        <v>12.594</v>
      </c>
      <c r="Q75" s="165">
        <f t="shared" si="12"/>
        <v>1.710333333333329</v>
      </c>
      <c r="R75" s="165">
        <f t="shared" si="13"/>
        <v>-2.2896666666666707</v>
      </c>
      <c r="S75" s="165">
        <f t="shared" si="14"/>
        <v>24.000000000000014</v>
      </c>
      <c r="T75" s="165">
        <f t="shared" si="13"/>
        <v>20.000000000000014</v>
      </c>
    </row>
    <row r="76" spans="1:20" ht="15">
      <c r="A76">
        <v>74</v>
      </c>
      <c r="B76" s="165">
        <v>6.217248937900877E-15</v>
      </c>
      <c r="C76" s="165">
        <v>4.397999999999987</v>
      </c>
      <c r="D76" s="165">
        <v>11.23</v>
      </c>
      <c r="E76" s="165">
        <v>19.26</v>
      </c>
      <c r="F76" s="165">
        <v>24</v>
      </c>
      <c r="G76" s="165">
        <v>24</v>
      </c>
      <c r="H76" s="165">
        <v>24</v>
      </c>
      <c r="I76" s="165">
        <v>20.65799999999996</v>
      </c>
      <c r="J76" s="165">
        <v>14.25</v>
      </c>
      <c r="K76" s="165">
        <v>7.498000000000005</v>
      </c>
      <c r="L76" s="165">
        <v>1.8599999999999817</v>
      </c>
      <c r="M76" s="165">
        <v>-6.217248937900877E-15</v>
      </c>
      <c r="N76" s="166">
        <f t="shared" si="15"/>
        <v>4613.21</v>
      </c>
      <c r="O76" s="166">
        <f t="shared" si="10"/>
        <v>3153.21</v>
      </c>
      <c r="P76" s="165">
        <f t="shared" si="11"/>
        <v>12.596166666666669</v>
      </c>
      <c r="Q76" s="165">
        <f t="shared" si="12"/>
        <v>1.4659999999999958</v>
      </c>
      <c r="R76" s="165">
        <f t="shared" si="13"/>
        <v>-2.5340000000000042</v>
      </c>
      <c r="S76" s="165">
        <f t="shared" si="14"/>
        <v>24.000000000000014</v>
      </c>
      <c r="T76" s="165">
        <f t="shared" si="13"/>
        <v>20.000000000000014</v>
      </c>
    </row>
    <row r="77" spans="1:20" ht="15">
      <c r="A77">
        <v>75</v>
      </c>
      <c r="B77" s="165">
        <v>6.217248937900877E-15</v>
      </c>
      <c r="C77" s="165">
        <v>3.664999999999987</v>
      </c>
      <c r="D77" s="165">
        <v>11.17</v>
      </c>
      <c r="E77" s="165">
        <v>20.05</v>
      </c>
      <c r="F77" s="165">
        <v>24</v>
      </c>
      <c r="G77" s="165">
        <v>24</v>
      </c>
      <c r="H77" s="165">
        <v>24</v>
      </c>
      <c r="I77" s="165">
        <v>21.215</v>
      </c>
      <c r="J77" s="165">
        <v>14.42</v>
      </c>
      <c r="K77" s="165">
        <v>7.11</v>
      </c>
      <c r="L77" s="165">
        <v>1.5499999999999816</v>
      </c>
      <c r="M77" s="165">
        <v>-6.217248937900877E-15</v>
      </c>
      <c r="N77" s="166">
        <f t="shared" si="15"/>
        <v>4615.565</v>
      </c>
      <c r="O77" s="166">
        <f t="shared" si="10"/>
        <v>3155.5649999999996</v>
      </c>
      <c r="P77" s="165">
        <f t="shared" si="11"/>
        <v>12.598333333333334</v>
      </c>
      <c r="Q77" s="165">
        <f t="shared" si="12"/>
        <v>1.2216666666666625</v>
      </c>
      <c r="R77" s="165">
        <f t="shared" si="13"/>
        <v>-2.7783333333333378</v>
      </c>
      <c r="S77" s="165">
        <f t="shared" si="14"/>
        <v>24.000000000000014</v>
      </c>
      <c r="T77" s="165">
        <f t="shared" si="13"/>
        <v>20.000000000000014</v>
      </c>
    </row>
    <row r="78" spans="1:20" ht="15">
      <c r="A78">
        <v>76</v>
      </c>
      <c r="B78" s="165">
        <v>6.217248937900877E-15</v>
      </c>
      <c r="C78" s="165">
        <v>2.931999999999987</v>
      </c>
      <c r="D78" s="165">
        <v>11.11</v>
      </c>
      <c r="E78" s="165">
        <v>20.84</v>
      </c>
      <c r="F78" s="165">
        <v>24</v>
      </c>
      <c r="G78" s="165">
        <v>24</v>
      </c>
      <c r="H78" s="165">
        <v>24</v>
      </c>
      <c r="I78" s="165">
        <v>21.771999999999956</v>
      </c>
      <c r="J78" s="165">
        <v>14.59</v>
      </c>
      <c r="K78" s="165">
        <v>6.722000000000005</v>
      </c>
      <c r="L78" s="165">
        <v>1.2399999999999816</v>
      </c>
      <c r="M78" s="165">
        <v>-6.217248937900877E-15</v>
      </c>
      <c r="N78" s="166">
        <f t="shared" si="15"/>
        <v>4617.92</v>
      </c>
      <c r="O78" s="166">
        <f t="shared" si="10"/>
        <v>3157.92</v>
      </c>
      <c r="P78" s="165">
        <f t="shared" si="11"/>
        <v>12.600499999999998</v>
      </c>
      <c r="Q78" s="165">
        <f t="shared" si="12"/>
        <v>0.9773333333333291</v>
      </c>
      <c r="R78" s="165">
        <f t="shared" si="13"/>
        <v>-3.022666666666671</v>
      </c>
      <c r="S78" s="165">
        <f t="shared" si="14"/>
        <v>24.000000000000014</v>
      </c>
      <c r="T78" s="165">
        <f t="shared" si="13"/>
        <v>20.000000000000014</v>
      </c>
    </row>
    <row r="79" spans="1:20" ht="15">
      <c r="A79">
        <v>77</v>
      </c>
      <c r="B79" s="165">
        <v>6.217248937900877E-15</v>
      </c>
      <c r="C79" s="165">
        <v>2.198999999999987</v>
      </c>
      <c r="D79" s="165">
        <v>11.05</v>
      </c>
      <c r="E79" s="165">
        <v>21.63</v>
      </c>
      <c r="F79" s="165">
        <v>24</v>
      </c>
      <c r="G79" s="165">
        <v>24</v>
      </c>
      <c r="H79" s="165">
        <v>24</v>
      </c>
      <c r="I79" s="165">
        <v>22.328999999999954</v>
      </c>
      <c r="J79" s="165">
        <v>14.76</v>
      </c>
      <c r="K79" s="165">
        <v>6.334000000000005</v>
      </c>
      <c r="L79" s="165">
        <v>0.9299999999999815</v>
      </c>
      <c r="M79" s="165">
        <v>-6.217248937900877E-15</v>
      </c>
      <c r="N79" s="166">
        <f t="shared" si="15"/>
        <v>4620.275000000001</v>
      </c>
      <c r="O79" s="166">
        <f t="shared" si="10"/>
        <v>3160.2750000000005</v>
      </c>
      <c r="P79" s="165">
        <f t="shared" si="11"/>
        <v>12.602666666666666</v>
      </c>
      <c r="Q79" s="165">
        <f t="shared" si="12"/>
        <v>0.7329999999999957</v>
      </c>
      <c r="R79" s="165">
        <f t="shared" si="13"/>
        <v>-3.2670000000000043</v>
      </c>
      <c r="S79" s="165">
        <f t="shared" si="14"/>
        <v>24.000000000000014</v>
      </c>
      <c r="T79" s="165">
        <f t="shared" si="13"/>
        <v>20.000000000000014</v>
      </c>
    </row>
    <row r="80" spans="1:20" ht="15">
      <c r="A80">
        <v>78</v>
      </c>
      <c r="B80" s="165">
        <v>6.217248937900877E-15</v>
      </c>
      <c r="C80" s="165">
        <v>1.4659999999999869</v>
      </c>
      <c r="D80" s="165">
        <v>10.99</v>
      </c>
      <c r="E80" s="165">
        <v>22.42</v>
      </c>
      <c r="F80" s="165">
        <v>24</v>
      </c>
      <c r="G80" s="165">
        <v>24</v>
      </c>
      <c r="H80" s="165">
        <v>24</v>
      </c>
      <c r="I80" s="165">
        <v>22.885999999999953</v>
      </c>
      <c r="J80" s="165">
        <v>14.93</v>
      </c>
      <c r="K80" s="165">
        <v>5.946000000000005</v>
      </c>
      <c r="L80" s="165">
        <v>0.6199999999999815</v>
      </c>
      <c r="M80" s="165">
        <v>-6.217248937900877E-15</v>
      </c>
      <c r="N80" s="166">
        <f t="shared" si="15"/>
        <v>4622.63</v>
      </c>
      <c r="O80" s="166">
        <f t="shared" si="10"/>
        <v>3162.63</v>
      </c>
      <c r="P80" s="165">
        <f t="shared" si="11"/>
        <v>12.604833333333332</v>
      </c>
      <c r="Q80" s="165">
        <f t="shared" si="12"/>
        <v>0.4886666666666623</v>
      </c>
      <c r="R80" s="165">
        <f t="shared" si="13"/>
        <v>-3.511333333333338</v>
      </c>
      <c r="S80" s="165">
        <f t="shared" si="14"/>
        <v>24.000000000000014</v>
      </c>
      <c r="T80" s="165">
        <f t="shared" si="13"/>
        <v>20.000000000000014</v>
      </c>
    </row>
    <row r="81" spans="1:20" ht="15">
      <c r="A81">
        <v>79</v>
      </c>
      <c r="B81" s="165">
        <v>6.217248937900877E-15</v>
      </c>
      <c r="C81" s="165">
        <v>0.7329999999999869</v>
      </c>
      <c r="D81" s="165">
        <v>10.93</v>
      </c>
      <c r="E81" s="165">
        <v>23.21</v>
      </c>
      <c r="F81" s="165">
        <v>24</v>
      </c>
      <c r="G81" s="165">
        <v>24</v>
      </c>
      <c r="H81" s="165">
        <v>24</v>
      </c>
      <c r="I81" s="165">
        <v>23.44299999999995</v>
      </c>
      <c r="J81" s="165">
        <v>15.1</v>
      </c>
      <c r="K81" s="165">
        <v>5.558000000000005</v>
      </c>
      <c r="L81" s="165">
        <v>0.30999999999998146</v>
      </c>
      <c r="M81" s="165">
        <v>-6.217248937900877E-15</v>
      </c>
      <c r="N81" s="166">
        <f t="shared" si="15"/>
        <v>4624.984999999999</v>
      </c>
      <c r="O81" s="166">
        <f t="shared" si="10"/>
        <v>3164.9849999999988</v>
      </c>
      <c r="P81" s="165">
        <f t="shared" si="11"/>
        <v>12.606999999999998</v>
      </c>
      <c r="Q81" s="165">
        <f t="shared" si="12"/>
        <v>0.24433333333332896</v>
      </c>
      <c r="R81" s="165">
        <f t="shared" si="13"/>
        <v>-3.755666666666671</v>
      </c>
      <c r="S81" s="165">
        <f t="shared" si="14"/>
        <v>24.000000000000014</v>
      </c>
      <c r="T81" s="165">
        <f t="shared" si="13"/>
        <v>20.000000000000014</v>
      </c>
    </row>
    <row r="82" spans="1:20" ht="15">
      <c r="A82">
        <v>80</v>
      </c>
      <c r="B82" s="165">
        <v>6.217248937900877E-15</v>
      </c>
      <c r="C82" s="165">
        <v>-1.3100631690576847E-14</v>
      </c>
      <c r="D82" s="165">
        <v>10.87</v>
      </c>
      <c r="E82" s="165">
        <v>24</v>
      </c>
      <c r="F82" s="165">
        <v>24</v>
      </c>
      <c r="G82" s="165">
        <v>24</v>
      </c>
      <c r="H82" s="165">
        <v>24</v>
      </c>
      <c r="I82" s="165">
        <v>23.99999999999995</v>
      </c>
      <c r="J82" s="165">
        <v>15.27</v>
      </c>
      <c r="K82" s="165">
        <v>5.170000000000005</v>
      </c>
      <c r="L82" s="165">
        <v>-1.8540724511240114E-14</v>
      </c>
      <c r="M82" s="165">
        <v>-6.217248937900877E-15</v>
      </c>
      <c r="N82" s="166">
        <f t="shared" si="15"/>
        <v>4627.34</v>
      </c>
      <c r="O82" s="166">
        <f t="shared" si="10"/>
        <v>3167.34</v>
      </c>
      <c r="P82" s="165">
        <f t="shared" si="11"/>
        <v>12.609166666666667</v>
      </c>
      <c r="Q82" s="165">
        <f t="shared" si="12"/>
        <v>-4.366877230192283E-15</v>
      </c>
      <c r="R82" s="165">
        <f t="shared" si="13"/>
        <v>-4.000000000000004</v>
      </c>
      <c r="S82" s="165">
        <f t="shared" si="14"/>
        <v>24.000000000000014</v>
      </c>
      <c r="T82" s="165">
        <f t="shared" si="13"/>
        <v>20.000000000000014</v>
      </c>
    </row>
    <row r="83" spans="1:20" ht="15">
      <c r="A83">
        <v>81</v>
      </c>
      <c r="B83" s="165">
        <v>6.217248937900877E-15</v>
      </c>
      <c r="C83" s="165">
        <v>-1.3100631690576847E-14</v>
      </c>
      <c r="D83" s="165">
        <v>9.78299999999999</v>
      </c>
      <c r="E83" s="165">
        <v>24</v>
      </c>
      <c r="F83" s="165">
        <v>24</v>
      </c>
      <c r="G83" s="165">
        <v>24</v>
      </c>
      <c r="H83" s="165">
        <v>24</v>
      </c>
      <c r="I83" s="165">
        <v>23.99999999999995</v>
      </c>
      <c r="J83" s="165">
        <v>16.143000000000008</v>
      </c>
      <c r="K83" s="165">
        <v>4.653000000000005</v>
      </c>
      <c r="L83" s="165">
        <v>-1.8540724511240114E-14</v>
      </c>
      <c r="M83" s="165">
        <v>-6.217248937900877E-15</v>
      </c>
      <c r="N83" s="166">
        <f t="shared" si="15"/>
        <v>4603.806</v>
      </c>
      <c r="O83" s="166">
        <f t="shared" si="10"/>
        <v>3143.8059999999996</v>
      </c>
      <c r="P83" s="165">
        <f t="shared" si="11"/>
        <v>12.548249999999996</v>
      </c>
      <c r="Q83" s="165">
        <f t="shared" si="12"/>
        <v>-4.366877230192283E-15</v>
      </c>
      <c r="R83" s="165">
        <f aca="true" t="shared" si="16" ref="R83:T92">Q83-4</f>
        <v>-4.000000000000004</v>
      </c>
      <c r="S83" s="165">
        <f t="shared" si="14"/>
        <v>24.000000000000014</v>
      </c>
      <c r="T83" s="165">
        <f t="shared" si="16"/>
        <v>20.000000000000014</v>
      </c>
    </row>
    <row r="84" spans="1:20" ht="15">
      <c r="A84">
        <v>82</v>
      </c>
      <c r="B84" s="165">
        <v>6.217248937900877E-15</v>
      </c>
      <c r="C84" s="165">
        <v>-1.3100631690576847E-14</v>
      </c>
      <c r="D84" s="165">
        <v>8.69599999999999</v>
      </c>
      <c r="E84" s="165">
        <v>24</v>
      </c>
      <c r="F84" s="165">
        <v>24</v>
      </c>
      <c r="G84" s="165">
        <v>24</v>
      </c>
      <c r="H84" s="165">
        <v>24</v>
      </c>
      <c r="I84" s="165">
        <v>23.99999999999995</v>
      </c>
      <c r="J84" s="165">
        <v>17.01600000000001</v>
      </c>
      <c r="K84" s="165">
        <v>4.136000000000005</v>
      </c>
      <c r="L84" s="165">
        <v>-1.8540724511240114E-14</v>
      </c>
      <c r="M84" s="165">
        <v>-6.217248937900877E-15</v>
      </c>
      <c r="N84" s="166">
        <f t="shared" si="15"/>
        <v>4580.272</v>
      </c>
      <c r="O84" s="166">
        <f t="shared" si="10"/>
        <v>3120.272</v>
      </c>
      <c r="P84" s="165">
        <f t="shared" si="11"/>
        <v>12.487333333333332</v>
      </c>
      <c r="Q84" s="165">
        <f t="shared" si="12"/>
        <v>-4.366877230192283E-15</v>
      </c>
      <c r="R84" s="165">
        <f t="shared" si="16"/>
        <v>-4.000000000000004</v>
      </c>
      <c r="S84" s="165">
        <f t="shared" si="14"/>
        <v>24.000000000000014</v>
      </c>
      <c r="T84" s="165">
        <f t="shared" si="16"/>
        <v>20.000000000000014</v>
      </c>
    </row>
    <row r="85" spans="1:20" ht="15">
      <c r="A85">
        <v>83</v>
      </c>
      <c r="B85" s="165">
        <v>6.217248937900877E-15</v>
      </c>
      <c r="C85" s="165">
        <v>-1.3100631690576847E-14</v>
      </c>
      <c r="D85" s="165">
        <v>7.608999999999991</v>
      </c>
      <c r="E85" s="165">
        <v>24</v>
      </c>
      <c r="F85" s="165">
        <v>24</v>
      </c>
      <c r="G85" s="165">
        <v>24</v>
      </c>
      <c r="H85" s="165">
        <v>24</v>
      </c>
      <c r="I85" s="165">
        <v>23.99999999999995</v>
      </c>
      <c r="J85" s="165">
        <v>17.88900000000001</v>
      </c>
      <c r="K85" s="165">
        <v>3.6190000000000047</v>
      </c>
      <c r="L85" s="165">
        <v>-1.8540724511240114E-14</v>
      </c>
      <c r="M85" s="165">
        <v>-6.217248937900877E-15</v>
      </c>
      <c r="N85" s="166">
        <f t="shared" si="15"/>
        <v>4556.737999999999</v>
      </c>
      <c r="O85" s="166">
        <f t="shared" si="10"/>
        <v>3096.7379999999994</v>
      </c>
      <c r="P85" s="165">
        <f t="shared" si="11"/>
        <v>12.426416666666666</v>
      </c>
      <c r="Q85" s="165">
        <f t="shared" si="12"/>
        <v>-4.366877230192283E-15</v>
      </c>
      <c r="R85" s="165">
        <f t="shared" si="16"/>
        <v>-4.000000000000004</v>
      </c>
      <c r="S85" s="165">
        <f t="shared" si="14"/>
        <v>24.000000000000014</v>
      </c>
      <c r="T85" s="165">
        <f t="shared" si="16"/>
        <v>20.000000000000014</v>
      </c>
    </row>
    <row r="86" spans="1:20" ht="15">
      <c r="A86">
        <v>84</v>
      </c>
      <c r="B86" s="165">
        <v>6.217248937900877E-15</v>
      </c>
      <c r="C86" s="165">
        <v>-1.3100631690576847E-14</v>
      </c>
      <c r="D86" s="165">
        <v>6.521999999999991</v>
      </c>
      <c r="E86" s="165">
        <v>24</v>
      </c>
      <c r="F86" s="165">
        <v>24</v>
      </c>
      <c r="G86" s="165">
        <v>24</v>
      </c>
      <c r="H86" s="165">
        <v>24</v>
      </c>
      <c r="I86" s="165">
        <v>23.99999999999995</v>
      </c>
      <c r="J86" s="165">
        <v>18.76200000000001</v>
      </c>
      <c r="K86" s="165">
        <v>3.1020000000000048</v>
      </c>
      <c r="L86" s="165">
        <v>-1.8540724511240114E-14</v>
      </c>
      <c r="M86" s="165">
        <v>-6.217248937900877E-15</v>
      </c>
      <c r="N86" s="166">
        <f t="shared" si="15"/>
        <v>4533.204</v>
      </c>
      <c r="O86" s="166">
        <f t="shared" si="10"/>
        <v>3073.2039999999997</v>
      </c>
      <c r="P86" s="165">
        <f t="shared" si="11"/>
        <v>12.365499999999997</v>
      </c>
      <c r="Q86" s="165">
        <f t="shared" si="12"/>
        <v>-4.366877230192283E-15</v>
      </c>
      <c r="R86" s="165">
        <f t="shared" si="16"/>
        <v>-4.000000000000004</v>
      </c>
      <c r="S86" s="165">
        <f t="shared" si="14"/>
        <v>24.000000000000014</v>
      </c>
      <c r="T86" s="165">
        <f t="shared" si="16"/>
        <v>20.000000000000014</v>
      </c>
    </row>
    <row r="87" spans="1:20" ht="15">
      <c r="A87">
        <v>85</v>
      </c>
      <c r="B87" s="165">
        <v>6.217248937900877E-15</v>
      </c>
      <c r="C87" s="165">
        <v>-1.3100631690576847E-14</v>
      </c>
      <c r="D87" s="165">
        <v>5.434999999999992</v>
      </c>
      <c r="E87" s="165">
        <v>24</v>
      </c>
      <c r="F87" s="165">
        <v>24</v>
      </c>
      <c r="G87" s="165">
        <v>24</v>
      </c>
      <c r="H87" s="165">
        <v>24</v>
      </c>
      <c r="I87" s="165">
        <v>23.99999999999995</v>
      </c>
      <c r="J87" s="165">
        <v>19.635</v>
      </c>
      <c r="K87" s="165">
        <v>2.585000000000005</v>
      </c>
      <c r="L87" s="165">
        <v>-1.8540724511240114E-14</v>
      </c>
      <c r="M87" s="165">
        <v>-6.217248937900877E-15</v>
      </c>
      <c r="N87" s="166">
        <f t="shared" si="15"/>
        <v>4509.669999999999</v>
      </c>
      <c r="O87" s="166">
        <f t="shared" si="10"/>
        <v>3049.669999999999</v>
      </c>
      <c r="P87" s="165">
        <f t="shared" si="11"/>
        <v>12.304583333333333</v>
      </c>
      <c r="Q87" s="165">
        <f t="shared" si="12"/>
        <v>-4.366877230192283E-15</v>
      </c>
      <c r="R87" s="165">
        <f t="shared" si="16"/>
        <v>-4.000000000000004</v>
      </c>
      <c r="S87" s="165">
        <f t="shared" si="14"/>
        <v>24.000000000000014</v>
      </c>
      <c r="T87" s="165">
        <f t="shared" si="16"/>
        <v>20.000000000000014</v>
      </c>
    </row>
    <row r="88" spans="1:20" ht="15">
      <c r="A88">
        <v>86</v>
      </c>
      <c r="B88" s="165">
        <v>6.217248937900877E-15</v>
      </c>
      <c r="C88" s="165">
        <v>-1.3100631690576847E-14</v>
      </c>
      <c r="D88" s="165">
        <v>4.347999999999992</v>
      </c>
      <c r="E88" s="165">
        <v>24</v>
      </c>
      <c r="F88" s="165">
        <v>24</v>
      </c>
      <c r="G88" s="165">
        <v>24</v>
      </c>
      <c r="H88" s="165">
        <v>24</v>
      </c>
      <c r="I88" s="165">
        <v>23.99999999999995</v>
      </c>
      <c r="J88" s="165">
        <v>20.508000000000013</v>
      </c>
      <c r="K88" s="165">
        <v>2.068000000000005</v>
      </c>
      <c r="L88" s="165">
        <v>-1.8540724511240114E-14</v>
      </c>
      <c r="M88" s="165">
        <v>-6.217248937900877E-15</v>
      </c>
      <c r="N88" s="166">
        <f t="shared" si="15"/>
        <v>4486.1359999999995</v>
      </c>
      <c r="O88" s="166">
        <f t="shared" si="10"/>
        <v>3026.1359999999995</v>
      </c>
      <c r="P88" s="165">
        <f t="shared" si="11"/>
        <v>12.243666666666664</v>
      </c>
      <c r="Q88" s="165">
        <f t="shared" si="12"/>
        <v>-4.366877230192283E-15</v>
      </c>
      <c r="R88" s="165">
        <f t="shared" si="16"/>
        <v>-4.000000000000004</v>
      </c>
      <c r="S88" s="165">
        <f t="shared" si="14"/>
        <v>24.000000000000014</v>
      </c>
      <c r="T88" s="165">
        <f t="shared" si="16"/>
        <v>20.000000000000014</v>
      </c>
    </row>
    <row r="89" spans="1:20" ht="15">
      <c r="A89">
        <v>87</v>
      </c>
      <c r="B89" s="165">
        <v>6.217248937900877E-15</v>
      </c>
      <c r="C89" s="165">
        <v>-1.3100631690576847E-14</v>
      </c>
      <c r="D89" s="165">
        <v>3.260999999999992</v>
      </c>
      <c r="E89" s="165">
        <v>24</v>
      </c>
      <c r="F89" s="165">
        <v>24</v>
      </c>
      <c r="G89" s="165">
        <v>24</v>
      </c>
      <c r="H89" s="165">
        <v>24</v>
      </c>
      <c r="I89" s="165">
        <v>23.99999999999995</v>
      </c>
      <c r="J89" s="165">
        <v>21.381000000000014</v>
      </c>
      <c r="K89" s="165">
        <v>1.551000000000005</v>
      </c>
      <c r="L89" s="165">
        <v>-1.8540724511240114E-14</v>
      </c>
      <c r="M89" s="165">
        <v>-6.217248937900877E-15</v>
      </c>
      <c r="N89" s="166">
        <f t="shared" si="15"/>
        <v>4462.602</v>
      </c>
      <c r="O89" s="166">
        <f t="shared" si="10"/>
        <v>3002.602</v>
      </c>
      <c r="P89" s="165">
        <f t="shared" si="11"/>
        <v>12.182749999999999</v>
      </c>
      <c r="Q89" s="165">
        <f>AVERAGE(M89,B89,C89)</f>
        <v>-4.366877230192283E-15</v>
      </c>
      <c r="R89" s="165">
        <f t="shared" si="16"/>
        <v>-4.000000000000004</v>
      </c>
      <c r="S89" s="165">
        <f t="shared" si="14"/>
        <v>24.000000000000014</v>
      </c>
      <c r="T89" s="165">
        <f t="shared" si="16"/>
        <v>20.000000000000014</v>
      </c>
    </row>
    <row r="90" spans="1:20" ht="15">
      <c r="A90">
        <v>88</v>
      </c>
      <c r="B90" s="165">
        <v>6.217248937900877E-15</v>
      </c>
      <c r="C90" s="165">
        <v>-1.3100631690576847E-14</v>
      </c>
      <c r="D90" s="165">
        <v>2.1739999999999924</v>
      </c>
      <c r="E90" s="165">
        <v>24</v>
      </c>
      <c r="F90" s="165">
        <v>24</v>
      </c>
      <c r="G90" s="165">
        <v>24</v>
      </c>
      <c r="H90" s="165">
        <v>24</v>
      </c>
      <c r="I90" s="165">
        <v>23.99999999999995</v>
      </c>
      <c r="J90" s="165">
        <v>22.254000000000016</v>
      </c>
      <c r="K90" s="165">
        <v>1.0340000000000051</v>
      </c>
      <c r="L90" s="165">
        <v>-1.8540724511240114E-14</v>
      </c>
      <c r="M90" s="165">
        <v>-6.217248937900877E-15</v>
      </c>
      <c r="N90" s="166">
        <f t="shared" si="15"/>
        <v>4439.068</v>
      </c>
      <c r="O90" s="166">
        <f t="shared" si="10"/>
        <v>2979.068</v>
      </c>
      <c r="P90" s="165">
        <f t="shared" si="11"/>
        <v>12.121833333333333</v>
      </c>
      <c r="Q90" s="165">
        <f>AVERAGE(M90,B90,C90)</f>
        <v>-4.366877230192283E-15</v>
      </c>
      <c r="R90" s="165">
        <f t="shared" si="16"/>
        <v>-4.000000000000004</v>
      </c>
      <c r="S90" s="165">
        <f t="shared" si="14"/>
        <v>24.000000000000014</v>
      </c>
      <c r="T90" s="165">
        <f t="shared" si="16"/>
        <v>20.000000000000014</v>
      </c>
    </row>
    <row r="91" spans="1:20" ht="15">
      <c r="A91">
        <v>89</v>
      </c>
      <c r="B91" s="165">
        <v>6.217248937900877E-15</v>
      </c>
      <c r="C91" s="165">
        <v>-1.3100631690576847E-14</v>
      </c>
      <c r="D91" s="165">
        <v>1.0869999999999924</v>
      </c>
      <c r="E91" s="165">
        <v>24</v>
      </c>
      <c r="F91" s="165">
        <v>24</v>
      </c>
      <c r="G91" s="165">
        <v>24</v>
      </c>
      <c r="H91" s="165">
        <v>24</v>
      </c>
      <c r="I91" s="165">
        <v>23.99999999999995</v>
      </c>
      <c r="J91" s="165">
        <v>23.127000000000017</v>
      </c>
      <c r="K91" s="165">
        <v>0.5170000000000051</v>
      </c>
      <c r="L91" s="165">
        <v>-1.8540724511240114E-14</v>
      </c>
      <c r="M91" s="165">
        <v>-6.217248937900877E-15</v>
      </c>
      <c r="N91" s="166">
        <f t="shared" si="15"/>
        <v>4415.534</v>
      </c>
      <c r="O91" s="166">
        <f t="shared" si="10"/>
        <v>2955.5339999999997</v>
      </c>
      <c r="P91" s="165">
        <f t="shared" si="11"/>
        <v>12.060916666666664</v>
      </c>
      <c r="Q91" s="165">
        <f>AVERAGE(M91,B91,C91)</f>
        <v>-4.366877230192283E-15</v>
      </c>
      <c r="R91" s="165">
        <f t="shared" si="16"/>
        <v>-4.000000000000004</v>
      </c>
      <c r="S91" s="165">
        <f t="shared" si="14"/>
        <v>24.000000000000014</v>
      </c>
      <c r="T91" s="165">
        <f t="shared" si="16"/>
        <v>20.000000000000014</v>
      </c>
    </row>
    <row r="92" spans="1:20" ht="15">
      <c r="A92">
        <v>90</v>
      </c>
      <c r="B92" s="165">
        <v>6.217248937900877E-15</v>
      </c>
      <c r="C92" s="165">
        <v>-1.3100631690576847E-14</v>
      </c>
      <c r="D92" s="165">
        <v>-7.549516567451064E-15</v>
      </c>
      <c r="E92" s="165">
        <v>24</v>
      </c>
      <c r="F92" s="165">
        <v>24</v>
      </c>
      <c r="G92" s="165">
        <v>24</v>
      </c>
      <c r="H92" s="165">
        <v>24</v>
      </c>
      <c r="I92" s="165">
        <v>23.99999999999995</v>
      </c>
      <c r="J92" s="165">
        <v>24</v>
      </c>
      <c r="K92" s="165">
        <v>5.10702591327572E-15</v>
      </c>
      <c r="L92" s="165">
        <v>-1.8540724511240114E-14</v>
      </c>
      <c r="M92" s="165">
        <v>-6.217248937900877E-15</v>
      </c>
      <c r="N92" s="166">
        <f t="shared" si="15"/>
        <v>4392</v>
      </c>
      <c r="O92" s="166">
        <f t="shared" si="10"/>
        <v>2932</v>
      </c>
      <c r="P92" s="165">
        <f t="shared" si="11"/>
        <v>12</v>
      </c>
      <c r="Q92" s="165">
        <f>AVERAGE(M92,B92,C92)</f>
        <v>-4.366877230192283E-15</v>
      </c>
      <c r="R92" s="165">
        <f t="shared" si="16"/>
        <v>-4.000000000000004</v>
      </c>
      <c r="S92" s="165">
        <f t="shared" si="14"/>
        <v>24.000000000000014</v>
      </c>
      <c r="T92" s="165">
        <f t="shared" si="16"/>
        <v>20.000000000000014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26" sqref="A26:A30"/>
    </sheetView>
  </sheetViews>
  <sheetFormatPr defaultColWidth="9.140625" defaultRowHeight="15"/>
  <cols>
    <col min="1" max="1" width="20.7109375" style="0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29.00390625" style="0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11.140625" style="0" customWidth="1"/>
    <col min="10" max="10" width="10.57421875" style="0" customWidth="1"/>
  </cols>
  <sheetData>
    <row r="1" spans="1:3" ht="15">
      <c r="A1" s="47" t="s">
        <v>64</v>
      </c>
      <c r="C1" s="42"/>
    </row>
    <row r="2" spans="1:3" ht="15">
      <c r="A2" t="s">
        <v>62</v>
      </c>
      <c r="C2" s="42"/>
    </row>
    <row r="3" spans="1:3" ht="15">
      <c r="A3" t="s">
        <v>63</v>
      </c>
      <c r="C3" s="42"/>
    </row>
    <row r="4" ht="15">
      <c r="C4" s="42"/>
    </row>
    <row r="5" spans="1:3" ht="15">
      <c r="A5" s="2" t="s">
        <v>187</v>
      </c>
      <c r="C5" s="42"/>
    </row>
    <row r="6" spans="1:3" ht="15">
      <c r="A6" s="42">
        <v>1</v>
      </c>
      <c r="B6" s="42"/>
      <c r="C6" s="42"/>
    </row>
    <row r="7" spans="1:11" ht="15">
      <c r="A7">
        <v>2</v>
      </c>
      <c r="B7" s="42"/>
      <c r="J7" s="4"/>
      <c r="K7" s="4"/>
    </row>
    <row r="8" ht="15">
      <c r="A8">
        <v>3</v>
      </c>
    </row>
    <row r="9" spans="1:12" ht="15">
      <c r="A9">
        <v>4</v>
      </c>
      <c r="L9" s="20"/>
    </row>
    <row r="10" spans="1:12" ht="15">
      <c r="A10">
        <v>5</v>
      </c>
      <c r="L10" s="21"/>
    </row>
    <row r="11" spans="1:12" ht="15">
      <c r="A11">
        <v>6</v>
      </c>
      <c r="L11" s="21"/>
    </row>
    <row r="12" spans="1:12" ht="15">
      <c r="A12">
        <v>7</v>
      </c>
      <c r="L12" s="21"/>
    </row>
    <row r="13" spans="1:12" ht="15">
      <c r="A13">
        <v>8</v>
      </c>
      <c r="H13" s="1"/>
      <c r="L13" s="21"/>
    </row>
    <row r="14" spans="1:12" ht="15">
      <c r="A14">
        <v>9</v>
      </c>
      <c r="D14" s="1"/>
      <c r="H14" s="1"/>
      <c r="L14" s="21"/>
    </row>
    <row r="15" spans="1:8" ht="15">
      <c r="A15">
        <v>10</v>
      </c>
      <c r="D15" s="1"/>
      <c r="H15" s="1"/>
    </row>
    <row r="16" spans="4:8" ht="15">
      <c r="D16" s="1"/>
      <c r="H16" s="1"/>
    </row>
    <row r="17" spans="1:8" ht="15">
      <c r="A17" s="2" t="s">
        <v>192</v>
      </c>
      <c r="D17" s="1"/>
      <c r="H17" s="1"/>
    </row>
    <row r="18" spans="1:8" ht="15">
      <c r="A18" t="s">
        <v>76</v>
      </c>
      <c r="D18" s="1"/>
      <c r="H18" s="1"/>
    </row>
    <row r="19" spans="1:8" ht="15">
      <c r="A19" t="s">
        <v>160</v>
      </c>
      <c r="D19" s="1"/>
      <c r="H19" s="1"/>
    </row>
    <row r="20" ht="15">
      <c r="H20" s="1"/>
    </row>
    <row r="21" spans="1:8" ht="15">
      <c r="A21" s="2" t="s">
        <v>47</v>
      </c>
      <c r="F21" s="5"/>
      <c r="H21" s="1"/>
    </row>
    <row r="22" spans="1:8" ht="15">
      <c r="A22" t="s">
        <v>161</v>
      </c>
      <c r="C22" s="1"/>
      <c r="F22" s="5"/>
      <c r="H22" s="1"/>
    </row>
    <row r="23" spans="1:3" ht="15">
      <c r="A23" t="s">
        <v>163</v>
      </c>
      <c r="C23" s="1"/>
    </row>
    <row r="25" ht="15">
      <c r="A25" s="2" t="s">
        <v>215</v>
      </c>
    </row>
    <row r="26" ht="15">
      <c r="A26" s="35">
        <v>1</v>
      </c>
    </row>
    <row r="27" ht="15">
      <c r="A27" s="35">
        <v>2</v>
      </c>
    </row>
    <row r="28" ht="15">
      <c r="A28" s="35">
        <v>3</v>
      </c>
    </row>
    <row r="29" spans="1:9" ht="15">
      <c r="A29" s="35">
        <v>4</v>
      </c>
      <c r="I29" s="5"/>
    </row>
    <row r="30" ht="15">
      <c r="A30" s="35">
        <v>5</v>
      </c>
    </row>
    <row r="31" ht="15">
      <c r="A31">
        <v>10</v>
      </c>
    </row>
    <row r="32" ht="15">
      <c r="A32">
        <v>15</v>
      </c>
    </row>
    <row r="33" ht="15">
      <c r="A33">
        <v>20</v>
      </c>
    </row>
    <row r="34" ht="15">
      <c r="A34">
        <v>25</v>
      </c>
    </row>
    <row r="35" ht="15">
      <c r="A35">
        <v>30</v>
      </c>
    </row>
    <row r="36" ht="15">
      <c r="A36">
        <v>40</v>
      </c>
    </row>
    <row r="37" ht="15">
      <c r="A37">
        <v>50</v>
      </c>
    </row>
    <row r="39" spans="6:9" ht="15">
      <c r="F39" s="1"/>
      <c r="G39" s="1"/>
      <c r="H39" s="1"/>
      <c r="I39" s="1"/>
    </row>
    <row r="40" spans="6:9" ht="15">
      <c r="F40" s="1"/>
      <c r="G40" s="1"/>
      <c r="H40" s="1"/>
      <c r="I40" s="1"/>
    </row>
    <row r="41" spans="6:9" ht="15">
      <c r="F41" s="1"/>
      <c r="G41" s="1"/>
      <c r="H41" s="1"/>
      <c r="I41" s="1"/>
    </row>
    <row r="42" spans="6:9" ht="15">
      <c r="F42" s="1"/>
      <c r="G42" s="37"/>
      <c r="H42" s="37"/>
      <c r="I42" s="1"/>
    </row>
    <row r="43" spans="6:9" ht="15">
      <c r="F43" s="1"/>
      <c r="G43" s="37"/>
      <c r="H43" s="1"/>
      <c r="I43" s="1"/>
    </row>
    <row r="44" spans="6:9" ht="15">
      <c r="F44" s="1"/>
      <c r="G44" s="37"/>
      <c r="H44" s="1"/>
      <c r="I44" s="37"/>
    </row>
    <row r="45" spans="6:9" ht="15">
      <c r="F45" s="1"/>
      <c r="G45" s="37"/>
      <c r="H45" s="1"/>
      <c r="I45" s="1"/>
    </row>
    <row r="46" spans="6:9" ht="15">
      <c r="F46" s="1"/>
      <c r="G46" s="37"/>
      <c r="H46" s="1"/>
      <c r="I46" s="1"/>
    </row>
    <row r="47" spans="6:9" ht="15">
      <c r="F47" s="1"/>
      <c r="G47" s="37"/>
      <c r="H47" s="1"/>
      <c r="I47" s="1"/>
    </row>
    <row r="48" spans="6:9" ht="15">
      <c r="F48" s="1"/>
      <c r="G48" s="37"/>
      <c r="H48" s="1"/>
      <c r="I48" s="1"/>
    </row>
    <row r="49" spans="6:9" ht="15">
      <c r="F49" s="1"/>
      <c r="G49" s="37"/>
      <c r="H49" s="1"/>
      <c r="I49" s="1"/>
    </row>
    <row r="50" spans="7:9" ht="15">
      <c r="G50" s="37"/>
      <c r="H50" s="1"/>
      <c r="I50" s="1"/>
    </row>
    <row r="51" spans="7:9" ht="15">
      <c r="G51" s="1"/>
      <c r="H51" s="1"/>
      <c r="I51" s="1"/>
    </row>
    <row r="52" spans="7:9" ht="15">
      <c r="G52" s="1"/>
      <c r="H52" s="1"/>
      <c r="I52" s="1"/>
    </row>
    <row r="53" spans="7:9" ht="15">
      <c r="G53" s="1"/>
      <c r="H53" s="1"/>
      <c r="I53" s="1"/>
    </row>
    <row r="54" spans="7:9" ht="15">
      <c r="G54" s="1"/>
      <c r="H54" s="1"/>
      <c r="I54" s="1"/>
    </row>
    <row r="55" spans="7:9" ht="15">
      <c r="G55" s="1"/>
      <c r="H55" s="1"/>
      <c r="I55" s="1"/>
    </row>
    <row r="57" ht="15">
      <c r="J57" s="5"/>
    </row>
    <row r="67" spans="10:19" ht="15"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0:19" ht="15"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0:19" ht="15"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0:19" ht="15">
      <c r="J70" s="37"/>
      <c r="K70" s="1"/>
      <c r="L70" s="1"/>
      <c r="M70" s="1"/>
      <c r="N70" s="1"/>
      <c r="O70" s="1"/>
      <c r="P70" s="1"/>
      <c r="Q70" s="1"/>
      <c r="R70" s="1"/>
      <c r="S70" s="1"/>
    </row>
    <row r="71" spans="10:19" ht="15"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0:19" ht="15"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0:19" ht="15"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0:19" ht="15"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0:19" ht="15"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0:19" ht="15"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0:19" ht="15"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0:13" ht="15">
      <c r="J78" s="1"/>
      <c r="K78" s="1"/>
      <c r="L78" s="1"/>
      <c r="M78" s="1"/>
    </row>
    <row r="79" spans="10:13" ht="15">
      <c r="J79" s="1"/>
      <c r="K79" s="1"/>
      <c r="L79" s="1"/>
      <c r="M79" s="1"/>
    </row>
    <row r="80" spans="10:13" ht="15">
      <c r="J80" s="1"/>
      <c r="K80" s="1"/>
      <c r="L80" s="1"/>
      <c r="M80" s="1"/>
    </row>
    <row r="81" spans="10:13" ht="15">
      <c r="J81" s="1"/>
      <c r="K81" s="1"/>
      <c r="L81" s="1"/>
      <c r="M81" s="1"/>
    </row>
    <row r="82" spans="10:13" ht="15">
      <c r="J82" s="1"/>
      <c r="K82" s="1"/>
      <c r="L82" s="1"/>
      <c r="M82" s="1"/>
    </row>
    <row r="83" spans="10:13" ht="15">
      <c r="J83" s="1"/>
      <c r="K83" s="1"/>
      <c r="L83" s="1"/>
      <c r="M8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9.8515625" style="0" customWidth="1"/>
    <col min="2" max="2" width="10.140625" style="0" customWidth="1"/>
    <col min="3" max="3" width="29.28125" style="0" bestFit="1" customWidth="1"/>
    <col min="4" max="4" width="21.00390625" style="0" bestFit="1" customWidth="1"/>
    <col min="5" max="5" width="14.7109375" style="0" bestFit="1" customWidth="1"/>
    <col min="6" max="6" width="16.28125" style="0" customWidth="1"/>
    <col min="7" max="7" width="18.421875" style="0" customWidth="1"/>
    <col min="8" max="8" width="12.57421875" style="0" customWidth="1"/>
    <col min="9" max="9" width="16.00390625" style="0" customWidth="1"/>
    <col min="10" max="10" width="4.00390625" style="0" customWidth="1"/>
    <col min="11" max="11" width="34.7109375" style="0" customWidth="1"/>
    <col min="12" max="12" width="17.8515625" style="0" customWidth="1"/>
    <col min="13" max="13" width="15.7109375" style="0" customWidth="1"/>
    <col min="14" max="14" width="21.7109375" style="0" bestFit="1" customWidth="1"/>
    <col min="15" max="15" width="14.8515625" style="0" customWidth="1"/>
    <col min="16" max="16" width="48.7109375" style="0" bestFit="1" customWidth="1"/>
    <col min="17" max="17" width="25.00390625" style="0" bestFit="1" customWidth="1"/>
    <col min="18" max="18" width="24.28125" style="0" bestFit="1" customWidth="1"/>
    <col min="19" max="19" width="25.57421875" style="0" bestFit="1" customWidth="1"/>
    <col min="20" max="20" width="14.28125" style="0" customWidth="1"/>
    <col min="21" max="21" width="16.8515625" style="0" customWidth="1"/>
    <col min="22" max="22" width="5.8515625" style="0" bestFit="1" customWidth="1"/>
    <col min="23" max="23" width="6.00390625" style="0" bestFit="1" customWidth="1"/>
    <col min="24" max="24" width="17.421875" style="0" customWidth="1"/>
    <col min="25" max="25" width="14.00390625" style="0" bestFit="1" customWidth="1"/>
    <col min="26" max="26" width="18.00390625" style="0" bestFit="1" customWidth="1"/>
    <col min="27" max="27" width="15.8515625" style="0" bestFit="1" customWidth="1"/>
    <col min="28" max="28" width="17.421875" style="0" bestFit="1" customWidth="1"/>
    <col min="29" max="29" width="10.140625" style="0" bestFit="1" customWidth="1"/>
    <col min="30" max="30" width="18.57421875" style="0" bestFit="1" customWidth="1"/>
    <col min="31" max="31" width="25.00390625" style="0" bestFit="1" customWidth="1"/>
    <col min="32" max="32" width="24.28125" style="0" bestFit="1" customWidth="1"/>
    <col min="33" max="33" width="25.57421875" style="0" bestFit="1" customWidth="1"/>
  </cols>
  <sheetData>
    <row r="1" spans="1:18" ht="15">
      <c r="A1" s="13" t="s">
        <v>37</v>
      </c>
      <c r="B1" s="12"/>
      <c r="C1" s="11"/>
      <c r="D1" s="11"/>
      <c r="E1" s="1"/>
      <c r="F1" s="1"/>
      <c r="G1" s="1"/>
      <c r="H1" s="1"/>
      <c r="N1" s="1"/>
      <c r="O1" s="1"/>
      <c r="P1" s="1"/>
      <c r="Q1" s="1"/>
      <c r="R1" s="1"/>
    </row>
    <row r="2" spans="1:18" ht="15.75" thickBot="1">
      <c r="A2" s="13" t="s">
        <v>87</v>
      </c>
      <c r="B2" s="13" t="s">
        <v>39</v>
      </c>
      <c r="C2" s="13" t="s">
        <v>40</v>
      </c>
      <c r="D2" s="13" t="s">
        <v>88</v>
      </c>
      <c r="E2" s="13" t="s">
        <v>151</v>
      </c>
      <c r="F2" s="3" t="s">
        <v>96</v>
      </c>
      <c r="G2" s="23" t="s">
        <v>152</v>
      </c>
      <c r="H2" s="13" t="s">
        <v>153</v>
      </c>
      <c r="I2" s="13" t="s">
        <v>154</v>
      </c>
      <c r="J2" s="13" t="s">
        <v>155</v>
      </c>
      <c r="K2" s="3" t="s">
        <v>93</v>
      </c>
      <c r="L2" s="13" t="s">
        <v>94</v>
      </c>
      <c r="M2" s="3" t="s">
        <v>95</v>
      </c>
      <c r="N2" s="1"/>
      <c r="O2" s="1"/>
      <c r="P2" s="1"/>
      <c r="Q2" s="1"/>
      <c r="R2" s="1"/>
    </row>
    <row r="3" spans="1:18" ht="30">
      <c r="A3" s="117" t="s">
        <v>144</v>
      </c>
      <c r="B3" s="118" t="s">
        <v>145</v>
      </c>
      <c r="C3" s="119" t="s">
        <v>141</v>
      </c>
      <c r="D3" s="120" t="s">
        <v>89</v>
      </c>
      <c r="E3" s="121">
        <v>1300</v>
      </c>
      <c r="F3" s="122">
        <v>30</v>
      </c>
      <c r="G3" s="123">
        <v>0.456</v>
      </c>
      <c r="H3" s="123">
        <v>29</v>
      </c>
      <c r="I3" s="123">
        <v>17</v>
      </c>
      <c r="J3" s="123">
        <v>15</v>
      </c>
      <c r="K3" s="123">
        <v>140</v>
      </c>
      <c r="L3" s="123">
        <v>31.86</v>
      </c>
      <c r="M3" s="124">
        <v>20.24</v>
      </c>
      <c r="N3" s="1"/>
      <c r="O3" s="1"/>
      <c r="P3" s="1"/>
      <c r="Q3" s="1"/>
      <c r="R3" s="1"/>
    </row>
    <row r="4" spans="1:18" ht="30">
      <c r="A4" s="125" t="s">
        <v>140</v>
      </c>
      <c r="B4" s="126" t="s">
        <v>142</v>
      </c>
      <c r="C4" s="127" t="s">
        <v>141</v>
      </c>
      <c r="D4" s="31" t="s">
        <v>89</v>
      </c>
      <c r="E4" s="128">
        <v>1800</v>
      </c>
      <c r="F4" s="1">
        <v>30</v>
      </c>
      <c r="G4" s="129">
        <v>0.456</v>
      </c>
      <c r="H4" s="10">
        <v>42</v>
      </c>
      <c r="I4" s="10">
        <v>31</v>
      </c>
      <c r="J4" s="10">
        <v>19</v>
      </c>
      <c r="K4" s="10">
        <v>212</v>
      </c>
      <c r="L4" s="10">
        <v>44.76</v>
      </c>
      <c r="M4" s="130">
        <v>32.21</v>
      </c>
      <c r="N4" s="1"/>
      <c r="O4" s="1"/>
      <c r="P4" s="1"/>
      <c r="Q4" s="1"/>
      <c r="R4" s="1"/>
    </row>
    <row r="5" spans="1:17" ht="30">
      <c r="A5" s="131" t="s">
        <v>238</v>
      </c>
      <c r="B5" s="10" t="s">
        <v>239</v>
      </c>
      <c r="C5" s="10" t="s">
        <v>91</v>
      </c>
      <c r="D5" s="132" t="s">
        <v>90</v>
      </c>
      <c r="E5" s="128">
        <v>1000</v>
      </c>
      <c r="F5" s="69">
        <v>30</v>
      </c>
      <c r="G5" s="132">
        <v>0.718</v>
      </c>
      <c r="H5" s="132">
        <v>37</v>
      </c>
      <c r="I5" s="132">
        <v>27</v>
      </c>
      <c r="J5" s="132">
        <v>18</v>
      </c>
      <c r="K5" s="132">
        <v>106</v>
      </c>
      <c r="L5" s="132">
        <v>32.83</v>
      </c>
      <c r="M5" s="133">
        <v>29.81</v>
      </c>
      <c r="P5" s="1"/>
      <c r="Q5" s="1"/>
    </row>
    <row r="6" spans="1:19" ht="15">
      <c r="A6" s="96" t="s">
        <v>100</v>
      </c>
      <c r="B6" s="24" t="s">
        <v>92</v>
      </c>
      <c r="C6" s="24" t="s">
        <v>91</v>
      </c>
      <c r="D6" s="24" t="s">
        <v>90</v>
      </c>
      <c r="E6" s="24">
        <v>1160</v>
      </c>
      <c r="F6" s="132">
        <v>30</v>
      </c>
      <c r="G6" s="132">
        <v>0.666</v>
      </c>
      <c r="H6" s="24">
        <v>44</v>
      </c>
      <c r="I6" s="24">
        <v>34</v>
      </c>
      <c r="J6" s="24">
        <v>20</v>
      </c>
      <c r="K6" s="132">
        <v>138</v>
      </c>
      <c r="L6" s="132">
        <v>40.86</v>
      </c>
      <c r="M6" s="133">
        <v>37.08</v>
      </c>
      <c r="Q6" s="13"/>
      <c r="R6" s="13"/>
      <c r="S6" s="13"/>
    </row>
    <row r="7" spans="1:22" ht="15">
      <c r="A7" s="96" t="s">
        <v>235</v>
      </c>
      <c r="B7" s="1" t="s">
        <v>236</v>
      </c>
      <c r="C7" s="1" t="s">
        <v>237</v>
      </c>
      <c r="D7" s="1" t="s">
        <v>89</v>
      </c>
      <c r="E7" s="134" t="s">
        <v>10</v>
      </c>
      <c r="F7" s="24">
        <v>30</v>
      </c>
      <c r="G7" s="1">
        <v>0.525</v>
      </c>
      <c r="H7" s="1">
        <v>42</v>
      </c>
      <c r="I7" s="1">
        <v>31</v>
      </c>
      <c r="J7" s="1">
        <v>20</v>
      </c>
      <c r="K7" s="1">
        <v>197</v>
      </c>
      <c r="L7" s="1">
        <v>49.31</v>
      </c>
      <c r="M7" s="93">
        <v>36.39</v>
      </c>
      <c r="N7" s="36"/>
      <c r="Q7" s="12"/>
      <c r="R7" s="12"/>
      <c r="S7" s="12"/>
      <c r="V7" s="9"/>
    </row>
    <row r="8" spans="1:14" ht="15">
      <c r="A8" s="87" t="s">
        <v>42</v>
      </c>
      <c r="B8" s="14" t="s">
        <v>38</v>
      </c>
      <c r="C8" s="31" t="s">
        <v>41</v>
      </c>
      <c r="D8" s="31" t="s">
        <v>89</v>
      </c>
      <c r="E8" s="32">
        <v>2331</v>
      </c>
      <c r="F8" s="24">
        <v>30</v>
      </c>
      <c r="G8" s="34">
        <v>0.355</v>
      </c>
      <c r="H8" s="34">
        <v>28</v>
      </c>
      <c r="I8" s="34">
        <v>22</v>
      </c>
      <c r="J8" s="34">
        <v>14</v>
      </c>
      <c r="K8" s="24">
        <v>234</v>
      </c>
      <c r="L8" s="33">
        <v>43.3</v>
      </c>
      <c r="M8" s="135">
        <v>32.55</v>
      </c>
      <c r="N8" s="30"/>
    </row>
    <row r="9" spans="1:14" ht="15">
      <c r="A9" s="87"/>
      <c r="B9" s="14"/>
      <c r="C9" s="31"/>
      <c r="D9" s="31"/>
      <c r="E9" s="32"/>
      <c r="F9" s="24"/>
      <c r="G9" s="34"/>
      <c r="H9" s="34"/>
      <c r="I9" s="34"/>
      <c r="J9" s="34"/>
      <c r="K9" s="24"/>
      <c r="L9" s="33"/>
      <c r="M9" s="135"/>
      <c r="N9" s="30"/>
    </row>
    <row r="10" spans="1:14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3"/>
      <c r="N10" s="22"/>
    </row>
    <row r="11" spans="1:13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3"/>
    </row>
    <row r="12" spans="1:13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3"/>
    </row>
    <row r="13" spans="1:13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3"/>
    </row>
    <row r="14" spans="1:14" ht="15">
      <c r="A14" s="96"/>
      <c r="B14" s="1"/>
      <c r="C14" s="1"/>
      <c r="D14" s="1"/>
      <c r="E14" s="136"/>
      <c r="F14" s="9"/>
      <c r="G14" s="1"/>
      <c r="H14" s="1"/>
      <c r="I14" s="1"/>
      <c r="J14" s="1"/>
      <c r="K14" s="1"/>
      <c r="L14" s="1"/>
      <c r="M14" s="93"/>
      <c r="N14" s="1"/>
    </row>
    <row r="15" spans="1:14" ht="15">
      <c r="A15" s="96"/>
      <c r="B15" s="1"/>
      <c r="C15" s="1"/>
      <c r="D15" s="1"/>
      <c r="E15" s="137"/>
      <c r="F15" s="137"/>
      <c r="G15" s="1"/>
      <c r="H15" s="1"/>
      <c r="I15" s="1"/>
      <c r="J15" s="1"/>
      <c r="K15" s="1"/>
      <c r="L15" s="1"/>
      <c r="M15" s="93"/>
      <c r="N15" s="1"/>
    </row>
    <row r="16" spans="1:13" ht="15">
      <c r="A16" s="96"/>
      <c r="B16" s="1"/>
      <c r="C16" s="1"/>
      <c r="D16" s="1"/>
      <c r="E16" s="137"/>
      <c r="F16" s="137"/>
      <c r="G16" s="1"/>
      <c r="H16" s="1"/>
      <c r="I16" s="1"/>
      <c r="J16" s="1"/>
      <c r="K16" s="1"/>
      <c r="L16" s="1"/>
      <c r="M16" s="93"/>
    </row>
    <row r="17" spans="1:16" ht="15">
      <c r="A17" s="96"/>
      <c r="B17" s="1"/>
      <c r="C17" s="1"/>
      <c r="D17" s="1"/>
      <c r="E17" s="138"/>
      <c r="F17" s="138"/>
      <c r="G17" s="1"/>
      <c r="H17" s="1"/>
      <c r="I17" s="1"/>
      <c r="J17" s="1"/>
      <c r="K17" s="1"/>
      <c r="L17" s="1"/>
      <c r="M17" s="93"/>
      <c r="N17" s="1"/>
      <c r="O17" s="1"/>
      <c r="P17" s="1"/>
    </row>
    <row r="18" spans="1:16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3"/>
      <c r="O18" s="1"/>
      <c r="P18" s="1"/>
    </row>
    <row r="19" spans="1:15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3"/>
      <c r="N19" s="1"/>
      <c r="O19" s="1"/>
    </row>
    <row r="20" spans="1:15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3"/>
      <c r="N20" s="1"/>
      <c r="O20" s="1"/>
    </row>
    <row r="21" spans="1:15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3"/>
      <c r="N21" s="1"/>
      <c r="O21" s="1"/>
    </row>
    <row r="22" spans="1:15" ht="15.75" thickBo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39"/>
      <c r="N22" s="1"/>
      <c r="O22" s="1"/>
    </row>
    <row r="23" spans="14:15" ht="15">
      <c r="N23" s="1"/>
      <c r="O23" s="1"/>
    </row>
    <row r="24" spans="14:15" ht="15">
      <c r="N24" s="1"/>
      <c r="O24" s="1"/>
    </row>
    <row r="25" spans="14:15" ht="15">
      <c r="N25" s="1"/>
      <c r="O25" s="1"/>
    </row>
    <row r="26" spans="14:15" ht="15">
      <c r="N26" s="1"/>
      <c r="O26" s="1"/>
    </row>
    <row r="27" spans="1:15" ht="15">
      <c r="A27" s="30" t="s">
        <v>36</v>
      </c>
      <c r="B27" s="22"/>
      <c r="C27" s="22"/>
      <c r="D27" s="30"/>
      <c r="E27" s="22"/>
      <c r="N27" s="1"/>
      <c r="O27" s="1"/>
    </row>
    <row r="28" spans="1:15" ht="15.75" thickBot="1">
      <c r="A28" s="2" t="s">
        <v>150</v>
      </c>
      <c r="B28" s="2" t="s">
        <v>39</v>
      </c>
      <c r="C28" s="2" t="s">
        <v>40</v>
      </c>
      <c r="D28" s="2" t="s">
        <v>156</v>
      </c>
      <c r="E28" s="2" t="s">
        <v>158</v>
      </c>
      <c r="F28" s="2" t="s">
        <v>99</v>
      </c>
      <c r="G28" s="2" t="s">
        <v>84</v>
      </c>
      <c r="H28" s="2" t="s">
        <v>83</v>
      </c>
      <c r="I28" s="2" t="s">
        <v>147</v>
      </c>
      <c r="J28" s="2" t="s">
        <v>85</v>
      </c>
      <c r="K28" s="68" t="s">
        <v>104</v>
      </c>
      <c r="N28" s="1"/>
      <c r="O28" s="1"/>
    </row>
    <row r="29" spans="1:15" ht="15">
      <c r="A29" s="100" t="s">
        <v>149</v>
      </c>
      <c r="B29" s="85" t="s">
        <v>10</v>
      </c>
      <c r="C29" s="85" t="s">
        <v>41</v>
      </c>
      <c r="D29" s="85">
        <v>1000</v>
      </c>
      <c r="E29" s="85">
        <v>1000</v>
      </c>
      <c r="F29" s="85" t="s">
        <v>10</v>
      </c>
      <c r="G29" s="141" t="s">
        <v>101</v>
      </c>
      <c r="H29" s="142" t="s">
        <v>102</v>
      </c>
      <c r="I29" s="142" t="s">
        <v>103</v>
      </c>
      <c r="J29" s="141" t="s">
        <v>146</v>
      </c>
      <c r="K29" s="143" t="s">
        <v>148</v>
      </c>
      <c r="L29" s="1"/>
      <c r="M29" s="1"/>
      <c r="N29" s="1"/>
      <c r="O29" s="1"/>
    </row>
    <row r="30" spans="1:15" ht="15">
      <c r="A30" s="96" t="s">
        <v>132</v>
      </c>
      <c r="B30" s="1" t="s">
        <v>240</v>
      </c>
      <c r="C30" s="1" t="s">
        <v>241</v>
      </c>
      <c r="D30" s="1">
        <v>1395</v>
      </c>
      <c r="E30" s="1">
        <v>1000</v>
      </c>
      <c r="F30" s="1">
        <v>1.8</v>
      </c>
      <c r="G30" s="1" t="s">
        <v>101</v>
      </c>
      <c r="H30" s="4" t="s">
        <v>133</v>
      </c>
      <c r="I30" s="4" t="s">
        <v>242</v>
      </c>
      <c r="J30" s="4" t="s">
        <v>146</v>
      </c>
      <c r="K30" s="140" t="s">
        <v>243</v>
      </c>
      <c r="L30" s="1"/>
      <c r="M30" s="1"/>
      <c r="N30" s="1"/>
      <c r="O30" s="1"/>
    </row>
    <row r="31" spans="1:15" ht="15">
      <c r="A31" s="96"/>
      <c r="B31" s="1"/>
      <c r="C31" s="1"/>
      <c r="D31" s="1"/>
      <c r="E31" s="1"/>
      <c r="F31" s="1"/>
      <c r="G31" s="1"/>
      <c r="H31" s="1"/>
      <c r="I31" s="1"/>
      <c r="J31" s="1"/>
      <c r="K31" s="93"/>
      <c r="L31" s="1"/>
      <c r="M31" s="1"/>
      <c r="N31" s="1"/>
      <c r="O31" s="1"/>
    </row>
    <row r="32" spans="1:15" ht="15">
      <c r="A32" s="96"/>
      <c r="B32" s="1"/>
      <c r="C32" s="1"/>
      <c r="D32" s="4"/>
      <c r="E32" s="1"/>
      <c r="F32" s="1"/>
      <c r="G32" s="1"/>
      <c r="H32" s="1"/>
      <c r="I32" s="1"/>
      <c r="J32" s="1"/>
      <c r="K32" s="93"/>
      <c r="L32" s="1"/>
      <c r="M32" s="1"/>
      <c r="N32" s="1"/>
      <c r="O32" s="1"/>
    </row>
    <row r="33" spans="1:15" ht="15">
      <c r="A33" s="95"/>
      <c r="B33" s="1"/>
      <c r="C33" s="1"/>
      <c r="D33" s="4"/>
      <c r="E33" s="1"/>
      <c r="F33" s="1"/>
      <c r="G33" s="1"/>
      <c r="H33" s="1"/>
      <c r="I33" s="1"/>
      <c r="J33" s="1"/>
      <c r="K33" s="93"/>
      <c r="M33" s="1"/>
      <c r="N33" s="1"/>
      <c r="O33" s="1"/>
    </row>
    <row r="34" spans="1:15" ht="15">
      <c r="A34" s="96"/>
      <c r="B34" s="1"/>
      <c r="C34" s="1"/>
      <c r="D34" s="1"/>
      <c r="E34" s="1"/>
      <c r="F34" s="1"/>
      <c r="G34" s="1"/>
      <c r="H34" s="1"/>
      <c r="I34" s="1"/>
      <c r="J34" s="1"/>
      <c r="K34" s="93"/>
      <c r="N34" s="1"/>
      <c r="O34" s="1"/>
    </row>
    <row r="35" spans="1:15" ht="15">
      <c r="A35" s="96"/>
      <c r="B35" s="1"/>
      <c r="C35" s="1"/>
      <c r="D35" s="1"/>
      <c r="E35" s="1"/>
      <c r="F35" s="1"/>
      <c r="G35" s="1"/>
      <c r="H35" s="1"/>
      <c r="I35" s="1"/>
      <c r="J35" s="1"/>
      <c r="K35" s="93"/>
      <c r="N35" s="1"/>
      <c r="O35" s="1"/>
    </row>
    <row r="36" spans="1:15" ht="15">
      <c r="A36" s="95"/>
      <c r="B36" s="1"/>
      <c r="C36" s="1"/>
      <c r="D36" s="1"/>
      <c r="E36" s="1"/>
      <c r="F36" s="1"/>
      <c r="G36" s="1"/>
      <c r="H36" s="1"/>
      <c r="I36" s="1"/>
      <c r="J36" s="1"/>
      <c r="K36" s="93"/>
      <c r="N36" s="1"/>
      <c r="O36" s="1"/>
    </row>
    <row r="37" spans="1:11" ht="15">
      <c r="A37" s="96"/>
      <c r="B37" s="1"/>
      <c r="C37" s="1"/>
      <c r="D37" s="1"/>
      <c r="E37" s="1"/>
      <c r="F37" s="1"/>
      <c r="G37" s="1"/>
      <c r="H37" s="1"/>
      <c r="I37" s="1"/>
      <c r="J37" s="1"/>
      <c r="K37" s="93"/>
    </row>
    <row r="38" spans="1:13" ht="15">
      <c r="A38" s="114"/>
      <c r="B38" s="1"/>
      <c r="C38" s="1"/>
      <c r="D38" s="1"/>
      <c r="E38" s="1"/>
      <c r="F38" s="1"/>
      <c r="G38" s="1"/>
      <c r="H38" s="1"/>
      <c r="I38" s="1"/>
      <c r="J38" s="1"/>
      <c r="K38" s="93"/>
      <c r="L38" s="1"/>
      <c r="M38" s="1"/>
    </row>
    <row r="39" spans="1:13" ht="15">
      <c r="A39" s="114"/>
      <c r="B39" s="1"/>
      <c r="C39" s="1"/>
      <c r="D39" s="1"/>
      <c r="E39" s="1"/>
      <c r="F39" s="1"/>
      <c r="G39" s="1"/>
      <c r="H39" s="1"/>
      <c r="I39" s="1"/>
      <c r="J39" s="1"/>
      <c r="K39" s="93"/>
      <c r="L39" s="1"/>
      <c r="M39" s="1"/>
    </row>
    <row r="40" spans="1:13" ht="15">
      <c r="A40" s="114"/>
      <c r="B40" s="1"/>
      <c r="C40" s="1"/>
      <c r="D40" s="1"/>
      <c r="E40" s="1"/>
      <c r="F40" s="1"/>
      <c r="G40" s="1"/>
      <c r="H40" s="1"/>
      <c r="I40" s="1"/>
      <c r="J40" s="1"/>
      <c r="K40" s="93"/>
      <c r="L40" s="1"/>
      <c r="M40" s="1"/>
    </row>
    <row r="41" spans="1:15" ht="15">
      <c r="A41" s="114"/>
      <c r="B41" s="1"/>
      <c r="C41" s="1"/>
      <c r="D41" s="1"/>
      <c r="E41" s="1"/>
      <c r="F41" s="1"/>
      <c r="G41" s="1"/>
      <c r="H41" s="1"/>
      <c r="I41" s="1"/>
      <c r="J41" s="1"/>
      <c r="K41" s="93"/>
      <c r="L41" s="1"/>
      <c r="M41" s="1"/>
      <c r="N41" s="1"/>
      <c r="O41" s="1"/>
    </row>
    <row r="42" spans="1:15" ht="15">
      <c r="A42" s="96"/>
      <c r="B42" s="1"/>
      <c r="C42" s="1"/>
      <c r="D42" s="1"/>
      <c r="E42" s="1"/>
      <c r="F42" s="1"/>
      <c r="G42" s="1"/>
      <c r="H42" s="1"/>
      <c r="I42" s="1"/>
      <c r="J42" s="1"/>
      <c r="K42" s="93"/>
      <c r="L42" s="1"/>
      <c r="M42" s="1"/>
      <c r="N42" s="1"/>
      <c r="O42" s="1"/>
    </row>
    <row r="43" spans="1:15" ht="15">
      <c r="A43" s="114"/>
      <c r="B43" s="1"/>
      <c r="C43" s="1"/>
      <c r="D43" s="1"/>
      <c r="E43" s="1"/>
      <c r="F43" s="1"/>
      <c r="G43" s="1"/>
      <c r="H43" s="1"/>
      <c r="I43" s="1"/>
      <c r="J43" s="1"/>
      <c r="K43" s="93"/>
      <c r="L43" s="1"/>
      <c r="M43" s="1"/>
      <c r="N43" s="1"/>
      <c r="O43" s="1"/>
    </row>
    <row r="44" spans="1:15" ht="15">
      <c r="A44" s="96"/>
      <c r="B44" s="1"/>
      <c r="C44" s="1"/>
      <c r="D44" s="1"/>
      <c r="E44" s="1"/>
      <c r="F44" s="1"/>
      <c r="G44" s="1"/>
      <c r="H44" s="1"/>
      <c r="I44" s="1"/>
      <c r="J44" s="1"/>
      <c r="K44" s="93"/>
      <c r="L44" s="1"/>
      <c r="M44" s="1"/>
      <c r="N44" s="1"/>
      <c r="O44" s="1"/>
    </row>
    <row r="45" spans="1:15" ht="15">
      <c r="A45" s="96"/>
      <c r="B45" s="7"/>
      <c r="C45" s="6"/>
      <c r="D45" s="6"/>
      <c r="E45" s="6"/>
      <c r="F45" s="6"/>
      <c r="G45" s="1"/>
      <c r="H45" s="1"/>
      <c r="I45" s="1"/>
      <c r="J45" s="7"/>
      <c r="K45" s="144"/>
      <c r="L45" s="1"/>
      <c r="M45" s="1"/>
      <c r="N45" s="1"/>
      <c r="O45" s="1"/>
    </row>
    <row r="46" spans="1:15" ht="15">
      <c r="A46" s="145"/>
      <c r="B46" s="126"/>
      <c r="C46" s="10"/>
      <c r="D46" s="1"/>
      <c r="E46" s="1"/>
      <c r="F46" s="1"/>
      <c r="G46" s="1"/>
      <c r="H46" s="1"/>
      <c r="I46" s="1"/>
      <c r="J46" s="1"/>
      <c r="K46" s="93"/>
      <c r="L46" s="1"/>
      <c r="M46" s="1"/>
      <c r="N46" s="1"/>
      <c r="O46" s="1"/>
    </row>
    <row r="47" spans="1:15" ht="15">
      <c r="A47" s="145"/>
      <c r="B47" s="126"/>
      <c r="C47" s="1"/>
      <c r="D47" s="1"/>
      <c r="E47" s="1"/>
      <c r="F47" s="1"/>
      <c r="G47" s="1"/>
      <c r="H47" s="1"/>
      <c r="I47" s="1"/>
      <c r="J47" s="1"/>
      <c r="K47" s="93"/>
      <c r="L47" s="1"/>
      <c r="M47" s="1"/>
      <c r="N47" s="1"/>
      <c r="O47" s="1"/>
    </row>
    <row r="48" spans="1:15" ht="15">
      <c r="A48" s="146"/>
      <c r="B48" s="147"/>
      <c r="C48" s="1"/>
      <c r="D48" s="1"/>
      <c r="E48" s="1"/>
      <c r="F48" s="1"/>
      <c r="G48" s="1"/>
      <c r="H48" s="1"/>
      <c r="I48" s="1"/>
      <c r="J48" s="1"/>
      <c r="K48" s="93"/>
      <c r="L48" s="1"/>
      <c r="M48" s="1"/>
      <c r="N48" s="1"/>
      <c r="O48" s="1"/>
    </row>
    <row r="49" spans="1:15" ht="15">
      <c r="A49" s="148"/>
      <c r="B49" s="126"/>
      <c r="C49" s="1"/>
      <c r="D49" s="1"/>
      <c r="E49" s="1"/>
      <c r="F49" s="1"/>
      <c r="G49" s="1"/>
      <c r="H49" s="1"/>
      <c r="I49" s="1"/>
      <c r="J49" s="1"/>
      <c r="K49" s="93"/>
      <c r="L49" s="6"/>
      <c r="M49" s="6"/>
      <c r="N49" s="1"/>
      <c r="O49" s="1"/>
    </row>
    <row r="50" spans="1:15" ht="15">
      <c r="A50" s="96"/>
      <c r="B50" s="126"/>
      <c r="C50" s="10"/>
      <c r="D50" s="1"/>
      <c r="E50" s="1"/>
      <c r="F50" s="1"/>
      <c r="G50" s="1"/>
      <c r="H50" s="1"/>
      <c r="I50" s="1"/>
      <c r="J50" s="1"/>
      <c r="K50" s="93"/>
      <c r="L50" s="6"/>
      <c r="M50" s="6"/>
      <c r="N50" s="1"/>
      <c r="O50" s="1"/>
    </row>
    <row r="51" spans="1:15" ht="15">
      <c r="A51" s="96"/>
      <c r="B51" s="1"/>
      <c r="C51" s="10"/>
      <c r="D51" s="1"/>
      <c r="E51" s="1"/>
      <c r="F51" s="1"/>
      <c r="G51" s="1"/>
      <c r="H51" s="1"/>
      <c r="I51" s="1"/>
      <c r="J51" s="1"/>
      <c r="K51" s="93"/>
      <c r="L51" s="6"/>
      <c r="M51" s="6"/>
      <c r="N51" s="1"/>
      <c r="O51" s="1"/>
    </row>
    <row r="52" spans="1:22" ht="15.75" thickBot="1">
      <c r="A52" s="149"/>
      <c r="B52" s="150"/>
      <c r="C52" s="151"/>
      <c r="D52" s="99"/>
      <c r="E52" s="99"/>
      <c r="F52" s="99"/>
      <c r="G52" s="99"/>
      <c r="H52" s="99"/>
      <c r="I52" s="99"/>
      <c r="J52" s="99"/>
      <c r="K52" s="139"/>
      <c r="L52" s="6"/>
      <c r="M52" s="6"/>
      <c r="N52" s="6"/>
      <c r="O52" s="1"/>
      <c r="P52" s="1"/>
      <c r="V52" t="s">
        <v>86</v>
      </c>
    </row>
    <row r="53" spans="1:16" ht="15">
      <c r="A53" s="29"/>
      <c r="B53" s="27"/>
      <c r="C53" s="30"/>
      <c r="D53" s="30"/>
      <c r="E53" s="30"/>
      <c r="F53" s="30"/>
      <c r="G53" s="30"/>
      <c r="H53" s="30"/>
      <c r="L53" s="6"/>
      <c r="M53" s="6"/>
      <c r="N53" s="6"/>
      <c r="O53" s="6"/>
      <c r="P53" s="1"/>
    </row>
    <row r="54" spans="1:15" ht="15">
      <c r="A54" s="29"/>
      <c r="B54" s="27"/>
      <c r="C54" s="30"/>
      <c r="D54" s="30"/>
      <c r="E54" s="30"/>
      <c r="F54" s="30"/>
      <c r="G54" s="30"/>
      <c r="H54" s="30"/>
      <c r="L54" s="1"/>
      <c r="M54" s="1"/>
      <c r="N54" s="6"/>
      <c r="O54" s="6"/>
    </row>
    <row r="55" spans="1:15" ht="15">
      <c r="A55" s="29"/>
      <c r="B55" s="27"/>
      <c r="C55" s="29"/>
      <c r="D55" s="29"/>
      <c r="E55" s="70"/>
      <c r="L55" s="1"/>
      <c r="M55" s="1"/>
      <c r="N55" s="6"/>
      <c r="O55" s="6"/>
    </row>
    <row r="56" spans="2:15" ht="15">
      <c r="B56" s="22"/>
      <c r="C56" s="29"/>
      <c r="D56" s="29"/>
      <c r="E56" s="70"/>
      <c r="F56" s="29"/>
      <c r="G56" s="29"/>
      <c r="H56" s="29"/>
      <c r="L56" s="1"/>
      <c r="M56" s="1"/>
      <c r="N56" s="6"/>
      <c r="O56" s="6"/>
    </row>
    <row r="57" spans="1:15" ht="15">
      <c r="A57" s="25"/>
      <c r="B57" s="22"/>
      <c r="C57" s="27"/>
      <c r="D57" s="27"/>
      <c r="E57" s="25"/>
      <c r="F57" s="27"/>
      <c r="G57" s="27"/>
      <c r="H57" s="27"/>
      <c r="L57" s="1"/>
      <c r="M57" s="1"/>
      <c r="N57" s="1"/>
      <c r="O57" s="6"/>
    </row>
    <row r="58" spans="2:15" ht="15">
      <c r="B58" s="22"/>
      <c r="C58" s="27"/>
      <c r="D58" s="27"/>
      <c r="E58" s="25"/>
      <c r="F58" s="27"/>
      <c r="G58" s="27"/>
      <c r="H58" s="27"/>
      <c r="L58" s="1"/>
      <c r="M58" s="1"/>
      <c r="N58" s="1"/>
      <c r="O58" s="6"/>
    </row>
    <row r="59" spans="1:15" ht="15">
      <c r="A59" s="25"/>
      <c r="C59" s="27"/>
      <c r="D59" s="27"/>
      <c r="E59" s="25"/>
      <c r="F59" s="27"/>
      <c r="G59" s="27"/>
      <c r="H59" s="27"/>
      <c r="L59" s="1"/>
      <c r="M59" s="1"/>
      <c r="N59" s="1"/>
      <c r="O59" s="6"/>
    </row>
    <row r="60" spans="1:15" ht="15" customHeight="1">
      <c r="A60" s="26"/>
      <c r="C60" s="27"/>
      <c r="D60" s="27"/>
      <c r="E60" s="25"/>
      <c r="F60" s="27"/>
      <c r="G60" s="27"/>
      <c r="H60" s="27"/>
      <c r="L60" s="1"/>
      <c r="M60" s="1"/>
      <c r="N60" s="1"/>
      <c r="O60" s="6"/>
    </row>
    <row r="61" spans="1:15" ht="15" customHeight="1">
      <c r="A61" s="25"/>
      <c r="B61" s="27"/>
      <c r="C61" s="27"/>
      <c r="D61" s="27"/>
      <c r="E61" s="25"/>
      <c r="F61" s="27"/>
      <c r="G61" s="27"/>
      <c r="H61" s="27"/>
      <c r="L61" s="1"/>
      <c r="M61" s="1"/>
      <c r="N61" s="1"/>
      <c r="O61" s="6"/>
    </row>
    <row r="62" spans="12:15" ht="30" customHeight="1">
      <c r="L62" s="1"/>
      <c r="M62" s="1"/>
      <c r="N62" s="1"/>
      <c r="O62" s="1"/>
    </row>
    <row r="63" spans="1:15" ht="15">
      <c r="A63" s="258"/>
      <c r="B63" s="258"/>
      <c r="D63" s="22"/>
      <c r="L63" s="1"/>
      <c r="M63" s="1"/>
      <c r="N63" s="1"/>
      <c r="O63" s="1"/>
    </row>
    <row r="64" spans="12:15" ht="15">
      <c r="L64" s="1"/>
      <c r="M64" s="1"/>
      <c r="N64" s="1"/>
      <c r="O64" s="1"/>
    </row>
    <row r="65" spans="4:15" ht="15">
      <c r="D65" s="26"/>
      <c r="E65" s="22"/>
      <c r="F65" s="22"/>
      <c r="L65" s="1"/>
      <c r="M65" s="1"/>
      <c r="N65" s="1"/>
      <c r="O65" s="1"/>
    </row>
    <row r="66" spans="3:15" ht="15">
      <c r="C66" s="22"/>
      <c r="D66" s="256"/>
      <c r="E66" s="256"/>
      <c r="L66" s="1"/>
      <c r="M66" s="1"/>
      <c r="N66" s="1"/>
      <c r="O66" s="1"/>
    </row>
    <row r="67" spans="3:15" ht="15">
      <c r="C67" s="260"/>
      <c r="D67" s="260"/>
      <c r="E67" s="260"/>
      <c r="F67" s="260"/>
      <c r="L67" s="1"/>
      <c r="M67" s="1"/>
      <c r="N67" s="1"/>
      <c r="O67" s="1"/>
    </row>
    <row r="68" spans="1:15" ht="15">
      <c r="A68" s="25"/>
      <c r="B68" s="22"/>
      <c r="C68" s="259"/>
      <c r="D68" s="259"/>
      <c r="E68" s="259"/>
      <c r="F68" s="259"/>
      <c r="L68" s="1"/>
      <c r="M68" s="1"/>
      <c r="N68" s="1"/>
      <c r="O68" s="1"/>
    </row>
    <row r="69" spans="1:15" ht="15">
      <c r="A69" s="25"/>
      <c r="B69" s="22"/>
      <c r="C69" s="29"/>
      <c r="D69" s="29"/>
      <c r="E69" s="29"/>
      <c r="F69" s="29"/>
      <c r="L69" s="1"/>
      <c r="M69" s="1"/>
      <c r="N69" s="1"/>
      <c r="O69" s="1"/>
    </row>
    <row r="70" spans="1:15" ht="15">
      <c r="A70" s="25"/>
      <c r="B70" s="22"/>
      <c r="C70" s="27"/>
      <c r="D70" s="27"/>
      <c r="E70" s="27"/>
      <c r="F70" s="27"/>
      <c r="L70" s="1"/>
      <c r="M70" s="1"/>
      <c r="N70" s="1"/>
      <c r="O70" s="1"/>
    </row>
    <row r="71" spans="1:15" ht="15">
      <c r="A71" s="255"/>
      <c r="B71" s="255"/>
      <c r="C71" s="27"/>
      <c r="D71" s="27"/>
      <c r="E71" s="27"/>
      <c r="F71" s="27"/>
      <c r="L71" s="1"/>
      <c r="M71" s="1"/>
      <c r="N71" s="1"/>
      <c r="O71" s="1"/>
    </row>
    <row r="72" spans="1:15" ht="15" customHeight="1">
      <c r="A72" s="255"/>
      <c r="B72" s="255"/>
      <c r="C72" s="27"/>
      <c r="D72" s="27"/>
      <c r="E72" s="27"/>
      <c r="F72" s="27"/>
      <c r="L72" s="1" t="s">
        <v>57</v>
      </c>
      <c r="M72" s="1" t="s">
        <v>56</v>
      </c>
      <c r="N72" s="1"/>
      <c r="O72" s="1"/>
    </row>
    <row r="73" spans="1:15" ht="15">
      <c r="A73" s="256"/>
      <c r="B73" s="25"/>
      <c r="C73" s="253"/>
      <c r="D73" s="256"/>
      <c r="L73" s="1" t="s">
        <v>50</v>
      </c>
      <c r="M73" s="1" t="s">
        <v>60</v>
      </c>
      <c r="N73" s="1"/>
      <c r="O73" s="1"/>
    </row>
    <row r="74" spans="1:16" ht="15" customHeight="1">
      <c r="A74" s="256"/>
      <c r="B74" s="25"/>
      <c r="C74" s="253"/>
      <c r="D74" s="256"/>
      <c r="L74" s="1"/>
      <c r="M74" s="1"/>
      <c r="N74" s="1"/>
      <c r="O74" s="1"/>
      <c r="P74" s="1"/>
    </row>
    <row r="75" spans="1:17" ht="15" customHeight="1">
      <c r="A75" s="25"/>
      <c r="B75" s="22"/>
      <c r="C75" s="26"/>
      <c r="D75" s="22"/>
      <c r="L75" s="1"/>
      <c r="M75" s="1"/>
      <c r="N75" s="1" t="s">
        <v>59</v>
      </c>
      <c r="O75" s="1" t="s">
        <v>58</v>
      </c>
      <c r="P75" s="1" t="s">
        <v>52</v>
      </c>
      <c r="Q75" s="1" t="s">
        <v>54</v>
      </c>
    </row>
    <row r="76" spans="1:17" ht="1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1"/>
      <c r="M76" s="1"/>
      <c r="N76" s="1" t="s">
        <v>51</v>
      </c>
      <c r="O76" s="1" t="s">
        <v>43</v>
      </c>
      <c r="P76" s="1" t="s">
        <v>53</v>
      </c>
      <c r="Q76" s="1" t="s">
        <v>53</v>
      </c>
    </row>
    <row r="77" spans="1:15" ht="15">
      <c r="A77" s="253"/>
      <c r="B77" s="253"/>
      <c r="C77" s="253"/>
      <c r="D77" s="253"/>
      <c r="E77" s="253"/>
      <c r="F77" s="253"/>
      <c r="G77" s="253"/>
      <c r="H77" s="253"/>
      <c r="I77" s="253"/>
      <c r="J77" s="28"/>
      <c r="K77" s="28"/>
      <c r="L77" s="1"/>
      <c r="M77" s="1"/>
      <c r="N77" s="1"/>
      <c r="O77" s="1"/>
    </row>
    <row r="78" spans="1:15" ht="15">
      <c r="A78" s="257"/>
      <c r="B78" s="257"/>
      <c r="C78" s="257"/>
      <c r="D78" s="254"/>
      <c r="E78" s="254"/>
      <c r="G78" s="30"/>
      <c r="H78" s="30"/>
      <c r="I78" s="22"/>
      <c r="J78" s="28"/>
      <c r="K78" s="28"/>
      <c r="L78" s="1"/>
      <c r="M78" s="1"/>
      <c r="N78" s="1"/>
      <c r="O78" s="1"/>
    </row>
    <row r="79" spans="1:15" ht="15">
      <c r="A79" s="257"/>
      <c r="B79" s="257"/>
      <c r="C79" s="257"/>
      <c r="D79" s="254"/>
      <c r="E79" s="254"/>
      <c r="F79" s="30"/>
      <c r="G79" s="30"/>
      <c r="H79" s="30"/>
      <c r="I79" s="22"/>
      <c r="J79" s="28"/>
      <c r="K79" s="28"/>
      <c r="L79" s="1"/>
      <c r="M79" s="1"/>
      <c r="N79" s="1"/>
      <c r="O79" s="1"/>
    </row>
    <row r="80" spans="1:15" ht="15">
      <c r="A80" s="257"/>
      <c r="B80" s="257"/>
      <c r="C80" s="257"/>
      <c r="D80" s="30"/>
      <c r="E80" s="22"/>
      <c r="L80" s="1"/>
      <c r="M80" s="1"/>
      <c r="N80" s="1"/>
      <c r="O80" s="1"/>
    </row>
    <row r="81" spans="1:15" ht="15">
      <c r="A81" s="22"/>
      <c r="B81" s="22"/>
      <c r="C81" s="22"/>
      <c r="D81" s="30"/>
      <c r="E81" s="22"/>
      <c r="L81" s="1"/>
      <c r="M81" s="1"/>
      <c r="N81" s="1"/>
      <c r="O81" s="1"/>
    </row>
    <row r="82" spans="1:15" ht="15">
      <c r="A82" s="22"/>
      <c r="B82" s="22"/>
      <c r="C82" s="22"/>
      <c r="D82" s="30"/>
      <c r="E82" s="22"/>
      <c r="L82" s="6"/>
      <c r="M82" s="6"/>
      <c r="N82" s="1"/>
      <c r="O82" s="1"/>
    </row>
    <row r="83" spans="1:15" ht="15" customHeight="1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2"/>
      <c r="L83" s="6"/>
      <c r="M83" s="6"/>
      <c r="N83" s="1"/>
      <c r="O83" s="1"/>
    </row>
    <row r="84" spans="1:15" ht="15" customHeight="1">
      <c r="A84" s="255"/>
      <c r="B84" s="255"/>
      <c r="C84" s="27"/>
      <c r="D84" s="27"/>
      <c r="E84" s="27"/>
      <c r="F84" s="27"/>
      <c r="L84" s="6"/>
      <c r="M84" s="6"/>
      <c r="N84" s="1"/>
      <c r="O84" s="1"/>
    </row>
    <row r="85" spans="1:15" ht="15">
      <c r="A85" s="255"/>
      <c r="B85" s="255"/>
      <c r="C85" s="27"/>
      <c r="D85" s="27"/>
      <c r="E85" s="27"/>
      <c r="F85" s="27"/>
      <c r="L85" s="6"/>
      <c r="M85" s="6"/>
      <c r="N85" s="1"/>
      <c r="O85" s="1"/>
    </row>
    <row r="86" spans="1:15" ht="15">
      <c r="A86" s="256"/>
      <c r="B86" s="25"/>
      <c r="C86" s="253"/>
      <c r="D86" s="256"/>
      <c r="L86" s="6"/>
      <c r="M86" s="6"/>
      <c r="N86" s="1"/>
      <c r="O86" s="1"/>
    </row>
    <row r="87" spans="1:15" ht="15" customHeight="1">
      <c r="A87" s="256"/>
      <c r="B87" s="25"/>
      <c r="C87" s="253"/>
      <c r="D87" s="256"/>
      <c r="L87" s="6"/>
      <c r="M87" s="6"/>
      <c r="N87" s="1"/>
      <c r="O87" s="1"/>
    </row>
    <row r="88" spans="1:15" ht="15" customHeight="1">
      <c r="A88" s="25"/>
      <c r="B88" s="22"/>
      <c r="C88" s="26"/>
      <c r="D88" s="22"/>
      <c r="L88" s="6"/>
      <c r="M88" s="6"/>
      <c r="N88" s="6"/>
      <c r="O88" s="1"/>
    </row>
    <row r="89" spans="1:15" ht="15" customHeight="1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N89" s="6"/>
      <c r="O89" s="1"/>
    </row>
    <row r="90" spans="1:15" ht="15" customHeight="1">
      <c r="A90" s="253"/>
      <c r="B90" s="253"/>
      <c r="C90" s="253"/>
      <c r="D90" s="253"/>
      <c r="E90" s="253"/>
      <c r="F90" s="253"/>
      <c r="G90" s="253"/>
      <c r="H90" s="253"/>
      <c r="I90" s="253"/>
      <c r="J90" s="28"/>
      <c r="K90" s="28"/>
      <c r="N90" s="6"/>
      <c r="O90" s="1"/>
    </row>
    <row r="91" spans="1:15" ht="15">
      <c r="A91" s="257"/>
      <c r="B91" s="257"/>
      <c r="C91" s="257"/>
      <c r="D91" s="254"/>
      <c r="E91" s="254"/>
      <c r="F91" s="30"/>
      <c r="G91" s="30"/>
      <c r="H91" s="30"/>
      <c r="I91" s="22"/>
      <c r="J91" s="28"/>
      <c r="K91" s="28"/>
      <c r="N91" s="6"/>
      <c r="O91" s="1"/>
    </row>
    <row r="92" spans="1:11" ht="15">
      <c r="A92" s="257"/>
      <c r="B92" s="257"/>
      <c r="C92" s="257"/>
      <c r="D92" s="254"/>
      <c r="E92" s="254"/>
      <c r="G92" s="30"/>
      <c r="H92" s="30"/>
      <c r="I92" s="22"/>
      <c r="J92" s="28"/>
      <c r="K92" s="28"/>
    </row>
    <row r="93" spans="1:5" ht="15">
      <c r="A93" s="257"/>
      <c r="B93" s="257"/>
      <c r="C93" s="257"/>
      <c r="D93" s="30"/>
      <c r="E93" s="22"/>
    </row>
    <row r="94" spans="1:5" ht="15">
      <c r="A94" s="22"/>
      <c r="B94" s="22"/>
      <c r="C94" s="22"/>
      <c r="D94" s="30"/>
      <c r="E94" s="22"/>
    </row>
    <row r="95" spans="1:5" ht="15">
      <c r="A95" s="22"/>
      <c r="B95" s="22"/>
      <c r="C95" s="22"/>
      <c r="D95" s="30"/>
      <c r="E95" s="22"/>
    </row>
    <row r="96" spans="1:11" ht="15" customHeight="1">
      <c r="A96" s="253"/>
      <c r="B96" s="253"/>
      <c r="C96" s="253"/>
      <c r="D96" s="253"/>
      <c r="E96" s="253"/>
      <c r="F96" s="253"/>
      <c r="G96" s="253"/>
      <c r="H96" s="253"/>
      <c r="I96" s="253"/>
      <c r="J96" s="253"/>
      <c r="K96" s="22"/>
    </row>
    <row r="97" spans="1:3" ht="15" customHeight="1">
      <c r="A97" s="22"/>
      <c r="B97" s="22"/>
      <c r="C97" s="22"/>
    </row>
    <row r="98" spans="1:5" ht="15">
      <c r="A98" s="22"/>
      <c r="B98" s="22"/>
      <c r="C98" s="22"/>
      <c r="D98" s="30"/>
      <c r="E98" s="22"/>
    </row>
    <row r="99" spans="1:11" ht="15" customHeight="1">
      <c r="A99" s="253"/>
      <c r="B99" s="253"/>
      <c r="C99" s="253"/>
      <c r="D99" s="253"/>
      <c r="E99" s="253"/>
      <c r="F99" s="253"/>
      <c r="G99" s="253"/>
      <c r="H99" s="253"/>
      <c r="I99" s="253"/>
      <c r="J99" s="253"/>
      <c r="K99" s="22" t="s">
        <v>143</v>
      </c>
    </row>
    <row r="100" ht="15" customHeight="1"/>
  </sheetData>
  <sheetProtection/>
  <mergeCells count="32">
    <mergeCell ref="D73:D74"/>
    <mergeCell ref="A78:C78"/>
    <mergeCell ref="A79:C79"/>
    <mergeCell ref="A80:C80"/>
    <mergeCell ref="A76:K76"/>
    <mergeCell ref="A73:A74"/>
    <mergeCell ref="C73:C74"/>
    <mergeCell ref="A63:B63"/>
    <mergeCell ref="A90:I90"/>
    <mergeCell ref="A91:C91"/>
    <mergeCell ref="D91:E91"/>
    <mergeCell ref="D66:E66"/>
    <mergeCell ref="C68:D68"/>
    <mergeCell ref="E68:F68"/>
    <mergeCell ref="C67:F67"/>
    <mergeCell ref="A71:B71"/>
    <mergeCell ref="A72:B72"/>
    <mergeCell ref="A92:C92"/>
    <mergeCell ref="D92:E92"/>
    <mergeCell ref="D78:E78"/>
    <mergeCell ref="A77:I77"/>
    <mergeCell ref="A83:J83"/>
    <mergeCell ref="A99:J99"/>
    <mergeCell ref="D79:E79"/>
    <mergeCell ref="A84:B84"/>
    <mergeCell ref="A85:B85"/>
    <mergeCell ref="A86:A87"/>
    <mergeCell ref="C86:C87"/>
    <mergeCell ref="D86:D87"/>
    <mergeCell ref="A89:K89"/>
    <mergeCell ref="A96:J96"/>
    <mergeCell ref="A93:C9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3" sqref="A3:A27"/>
    </sheetView>
  </sheetViews>
  <sheetFormatPr defaultColWidth="9.140625" defaultRowHeight="15"/>
  <cols>
    <col min="1" max="1" width="21.7109375" style="1" customWidth="1"/>
    <col min="2" max="2" width="14.8515625" style="1" customWidth="1"/>
    <col min="3" max="3" width="8.7109375" style="1" customWidth="1"/>
    <col min="4" max="4" width="24.7109375" style="1" customWidth="1"/>
    <col min="5" max="5" width="16.7109375" style="1" customWidth="1"/>
    <col min="6" max="6" width="16.00390625" style="1" customWidth="1"/>
    <col min="7" max="7" width="18.7109375" style="1" bestFit="1" customWidth="1"/>
    <col min="8" max="8" width="18.7109375" style="1" customWidth="1"/>
    <col min="9" max="9" width="20.421875" style="1" customWidth="1"/>
    <col min="10" max="10" width="23.00390625" style="1" bestFit="1" customWidth="1"/>
    <col min="11" max="11" width="21.7109375" style="1" bestFit="1" customWidth="1"/>
    <col min="12" max="13" width="28.28125" style="1" bestFit="1" customWidth="1"/>
    <col min="14" max="14" width="12.8515625" style="1" bestFit="1" customWidth="1"/>
    <col min="15" max="15" width="15.8515625" style="1" bestFit="1" customWidth="1"/>
    <col min="16" max="16" width="9.57421875" style="1" bestFit="1" customWidth="1"/>
    <col min="17" max="17" width="19.57421875" style="1" bestFit="1" customWidth="1"/>
    <col min="18" max="18" width="12.28125" style="1" bestFit="1" customWidth="1"/>
    <col min="19" max="19" width="32.421875" style="1" bestFit="1" customWidth="1"/>
    <col min="20" max="20" width="32.8515625" style="1" bestFit="1" customWidth="1"/>
    <col min="21" max="21" width="21.421875" style="1" bestFit="1" customWidth="1"/>
    <col min="22" max="22" width="16.8515625" style="1" bestFit="1" customWidth="1"/>
    <col min="23" max="23" width="13.57421875" style="1" bestFit="1" customWidth="1"/>
    <col min="24" max="24" width="9.140625" style="1" customWidth="1"/>
    <col min="25" max="25" width="28.140625" style="1" bestFit="1" customWidth="1"/>
    <col min="26" max="26" width="40.8515625" style="1" bestFit="1" customWidth="1"/>
    <col min="27" max="27" width="16.28125" style="1" bestFit="1" customWidth="1"/>
    <col min="28" max="28" width="13.8515625" style="1" bestFit="1" customWidth="1"/>
    <col min="29" max="29" width="13.421875" style="1" bestFit="1" customWidth="1"/>
    <col min="30" max="30" width="35.57421875" style="1" bestFit="1" customWidth="1"/>
    <col min="31" max="31" width="13.421875" style="1" bestFit="1" customWidth="1"/>
    <col min="32" max="32" width="26.00390625" style="1" bestFit="1" customWidth="1"/>
    <col min="33" max="33" width="4.7109375" style="1" customWidth="1"/>
    <col min="34" max="34" width="31.421875" style="1" bestFit="1" customWidth="1"/>
    <col min="35" max="35" width="12.421875" style="1" bestFit="1" customWidth="1"/>
    <col min="36" max="36" width="58.00390625" style="1" bestFit="1" customWidth="1"/>
    <col min="37" max="37" width="63.28125" style="1" bestFit="1" customWidth="1"/>
    <col min="38" max="38" width="33.8515625" style="1" bestFit="1" customWidth="1"/>
    <col min="39" max="39" width="12.8515625" style="1" bestFit="1" customWidth="1"/>
    <col min="40" max="40" width="19.57421875" style="1" bestFit="1" customWidth="1"/>
    <col min="41" max="41" width="7.8515625" style="1" bestFit="1" customWidth="1"/>
    <col min="42" max="42" width="37.00390625" style="1" bestFit="1" customWidth="1"/>
    <col min="43" max="43" width="27.57421875" style="1" bestFit="1" customWidth="1"/>
    <col min="44" max="44" width="38.421875" style="1" bestFit="1" customWidth="1"/>
    <col min="45" max="45" width="37.00390625" style="1" bestFit="1" customWidth="1"/>
    <col min="46" max="46" width="27.57421875" style="1" bestFit="1" customWidth="1"/>
    <col min="47" max="47" width="24.140625" style="1" bestFit="1" customWidth="1"/>
    <col min="48" max="48" width="30.00390625" style="1" bestFit="1" customWidth="1"/>
    <col min="49" max="49" width="27.57421875" style="1" bestFit="1" customWidth="1"/>
    <col min="50" max="50" width="21.8515625" style="1" customWidth="1"/>
    <col min="51" max="51" width="9.140625" style="1" customWidth="1"/>
    <col min="52" max="52" width="29.140625" style="1" bestFit="1" customWidth="1"/>
    <col min="53" max="53" width="30.00390625" style="1" bestFit="1" customWidth="1"/>
    <col min="54" max="16384" width="9.140625" style="1" customWidth="1"/>
  </cols>
  <sheetData>
    <row r="1" spans="1:2" ht="15">
      <c r="A1" s="76" t="s">
        <v>128</v>
      </c>
      <c r="B1" s="11"/>
    </row>
    <row r="2" spans="1:16" ht="15.75" thickBot="1">
      <c r="A2" s="68" t="s">
        <v>129</v>
      </c>
      <c r="B2" s="23" t="s">
        <v>77</v>
      </c>
      <c r="C2" s="66" t="s">
        <v>80</v>
      </c>
      <c r="D2" s="66" t="s">
        <v>131</v>
      </c>
      <c r="E2" s="66" t="s">
        <v>81</v>
      </c>
      <c r="F2" s="66" t="s">
        <v>190</v>
      </c>
      <c r="G2" s="3" t="s">
        <v>79</v>
      </c>
      <c r="H2" s="3" t="s">
        <v>78</v>
      </c>
      <c r="I2" s="3" t="s">
        <v>136</v>
      </c>
      <c r="J2" s="3" t="s">
        <v>134</v>
      </c>
      <c r="K2" s="3" t="s">
        <v>135</v>
      </c>
      <c r="L2" s="3" t="s">
        <v>137</v>
      </c>
      <c r="M2" s="3" t="s">
        <v>138</v>
      </c>
      <c r="N2" s="68"/>
      <c r="O2" s="3"/>
      <c r="P2" s="3"/>
    </row>
    <row r="3" spans="1:31" ht="17.25" customHeight="1">
      <c r="A3" s="155" t="s">
        <v>130</v>
      </c>
      <c r="B3" s="156" t="s">
        <v>139</v>
      </c>
      <c r="C3" s="157">
        <v>1699</v>
      </c>
      <c r="D3" s="157">
        <v>400</v>
      </c>
      <c r="E3" s="157">
        <v>0</v>
      </c>
      <c r="F3" s="158">
        <v>15</v>
      </c>
      <c r="G3" s="85">
        <v>2.35</v>
      </c>
      <c r="H3" s="85">
        <v>190</v>
      </c>
      <c r="I3" s="85">
        <v>60.5</v>
      </c>
      <c r="J3" s="85">
        <v>21.75</v>
      </c>
      <c r="K3" s="85">
        <v>21.75</v>
      </c>
      <c r="L3" s="85">
        <v>50</v>
      </c>
      <c r="M3" s="86">
        <v>63</v>
      </c>
      <c r="AE3" s="10"/>
    </row>
    <row r="4" spans="1:13" ht="15">
      <c r="A4" s="159" t="s">
        <v>245</v>
      </c>
      <c r="B4" s="1" t="s">
        <v>244</v>
      </c>
      <c r="C4" s="8">
        <v>1499</v>
      </c>
      <c r="D4" s="8">
        <v>400</v>
      </c>
      <c r="E4" s="8">
        <v>0</v>
      </c>
      <c r="F4" s="75">
        <v>14</v>
      </c>
      <c r="G4" s="75">
        <v>2</v>
      </c>
      <c r="H4" s="116">
        <v>200</v>
      </c>
      <c r="I4" s="116">
        <v>75.5</v>
      </c>
      <c r="J4" s="116">
        <v>21</v>
      </c>
      <c r="K4" s="116">
        <v>21</v>
      </c>
      <c r="L4" s="116">
        <v>50</v>
      </c>
      <c r="M4" s="160">
        <v>63</v>
      </c>
    </row>
    <row r="5" spans="1:13" ht="15">
      <c r="A5" s="161"/>
      <c r="B5" s="75"/>
      <c r="M5" s="93"/>
    </row>
    <row r="6" spans="1:13" ht="15">
      <c r="A6" s="159"/>
      <c r="B6" s="4"/>
      <c r="M6" s="93"/>
    </row>
    <row r="7" spans="1:13" ht="15">
      <c r="A7" s="162"/>
      <c r="B7" s="8"/>
      <c r="C7" s="8"/>
      <c r="M7" s="93"/>
    </row>
    <row r="8" spans="1:13" ht="15">
      <c r="A8" s="163"/>
      <c r="M8" s="93"/>
    </row>
    <row r="9" spans="1:13" ht="15">
      <c r="A9" s="96"/>
      <c r="F9" s="37"/>
      <c r="G9" s="37"/>
      <c r="M9" s="93"/>
    </row>
    <row r="10" spans="1:13" ht="15">
      <c r="A10" s="164"/>
      <c r="B10" s="39"/>
      <c r="D10" s="40"/>
      <c r="E10" s="40"/>
      <c r="F10" s="38"/>
      <c r="G10" s="38"/>
      <c r="M10" s="93"/>
    </row>
    <row r="11" spans="1:13" ht="15">
      <c r="A11" s="163"/>
      <c r="B11" s="38"/>
      <c r="M11" s="93"/>
    </row>
    <row r="12" spans="1:13" ht="15">
      <c r="A12" s="96"/>
      <c r="M12" s="93"/>
    </row>
    <row r="13" spans="1:13" ht="15">
      <c r="A13" s="96"/>
      <c r="M13" s="93"/>
    </row>
    <row r="14" spans="1:13" ht="15">
      <c r="A14" s="96"/>
      <c r="G14" s="66"/>
      <c r="H14" s="66"/>
      <c r="M14" s="93"/>
    </row>
    <row r="15" spans="1:13" ht="15">
      <c r="A15" s="96"/>
      <c r="G15" s="67"/>
      <c r="H15" s="67"/>
      <c r="M15" s="93"/>
    </row>
    <row r="16" spans="1:13" ht="15">
      <c r="A16" s="96"/>
      <c r="M16" s="93"/>
    </row>
    <row r="17" spans="1:13" ht="15">
      <c r="A17" s="96"/>
      <c r="M17" s="93"/>
    </row>
    <row r="18" spans="1:13" ht="15">
      <c r="A18" s="96"/>
      <c r="M18" s="93"/>
    </row>
    <row r="19" spans="1:13" ht="15">
      <c r="A19" s="96"/>
      <c r="M19" s="93"/>
    </row>
    <row r="20" spans="1:13" ht="15">
      <c r="A20" s="96"/>
      <c r="M20" s="93"/>
    </row>
    <row r="21" spans="1:13" ht="15">
      <c r="A21" s="96"/>
      <c r="M21" s="93"/>
    </row>
    <row r="22" spans="1:13" ht="15">
      <c r="A22" s="96"/>
      <c r="M22" s="93"/>
    </row>
    <row r="23" spans="1:13" ht="15">
      <c r="A23" s="96"/>
      <c r="M23" s="93"/>
    </row>
    <row r="24" spans="1:13" ht="15">
      <c r="A24" s="96"/>
      <c r="M24" s="93"/>
    </row>
    <row r="25" spans="1:19" ht="15">
      <c r="A25" s="96"/>
      <c r="M25" s="93"/>
      <c r="S25" s="10"/>
    </row>
    <row r="26" spans="1:13" ht="15">
      <c r="A26" s="96"/>
      <c r="M26" s="93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3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2.57421875" style="0" customWidth="1"/>
    <col min="2" max="2" width="12.140625" style="0" bestFit="1" customWidth="1"/>
    <col min="3" max="3" width="25.7109375" style="0" customWidth="1"/>
    <col min="4" max="4" width="19.421875" style="0" bestFit="1" customWidth="1"/>
    <col min="5" max="5" width="7.57421875" style="0" bestFit="1" customWidth="1"/>
    <col min="6" max="6" width="4.57421875" style="0" bestFit="1" customWidth="1"/>
    <col min="7" max="7" width="15.28125" style="0" bestFit="1" customWidth="1"/>
    <col min="8" max="8" width="19.7109375" style="0" bestFit="1" customWidth="1"/>
    <col min="9" max="9" width="27.57421875" style="0" bestFit="1" customWidth="1"/>
    <col min="10" max="10" width="17.57421875" style="0" bestFit="1" customWidth="1"/>
    <col min="11" max="11" width="31.8515625" style="0" bestFit="1" customWidth="1"/>
    <col min="12" max="12" width="23.57421875" style="0" bestFit="1" customWidth="1"/>
    <col min="13" max="13" width="13.421875" style="0" bestFit="1" customWidth="1"/>
    <col min="14" max="14" width="29.140625" style="0" bestFit="1" customWidth="1"/>
    <col min="15" max="15" width="23.28125" style="0" bestFit="1" customWidth="1"/>
    <col min="16" max="16" width="12.00390625" style="0" bestFit="1" customWidth="1"/>
    <col min="17" max="17" width="6.28125" style="0" bestFit="1" customWidth="1"/>
    <col min="18" max="18" width="8.28125" style="0" bestFit="1" customWidth="1"/>
    <col min="19" max="19" width="18.57421875" style="0" bestFit="1" customWidth="1"/>
    <col min="20" max="20" width="16.421875" style="0" bestFit="1" customWidth="1"/>
  </cols>
  <sheetData>
    <row r="1" spans="1:12" ht="15">
      <c r="A1" s="2" t="s">
        <v>169</v>
      </c>
      <c r="E1" s="1"/>
      <c r="F1" s="1"/>
      <c r="G1" s="1"/>
      <c r="H1" s="1"/>
      <c r="I1" s="1"/>
      <c r="J1" s="1"/>
      <c r="K1" s="1"/>
      <c r="L1" s="1"/>
    </row>
    <row r="2" spans="2:13" ht="15">
      <c r="B2" s="2" t="s">
        <v>82</v>
      </c>
      <c r="C2" s="2" t="s">
        <v>162</v>
      </c>
      <c r="D2" s="2" t="s">
        <v>48</v>
      </c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t="s">
        <v>166</v>
      </c>
      <c r="B3">
        <v>750</v>
      </c>
      <c r="C3">
        <v>15</v>
      </c>
      <c r="D3">
        <v>0.9</v>
      </c>
      <c r="K3" s="1"/>
      <c r="L3" s="1"/>
      <c r="M3" s="1"/>
    </row>
    <row r="4" spans="1:13" ht="15">
      <c r="A4" t="s">
        <v>167</v>
      </c>
      <c r="B4">
        <v>820</v>
      </c>
      <c r="C4">
        <v>15</v>
      </c>
      <c r="D4">
        <v>0.95</v>
      </c>
      <c r="K4" s="1"/>
      <c r="L4" s="1"/>
      <c r="M4" s="1"/>
    </row>
    <row r="5" spans="1:13" ht="15">
      <c r="A5" t="s">
        <v>165</v>
      </c>
      <c r="B5">
        <v>850</v>
      </c>
      <c r="C5">
        <v>15</v>
      </c>
      <c r="D5">
        <v>0.6</v>
      </c>
      <c r="K5" s="1"/>
      <c r="L5" s="1"/>
      <c r="M5" s="1"/>
    </row>
    <row r="6" spans="1:13" ht="15">
      <c r="A6" t="s">
        <v>164</v>
      </c>
      <c r="B6">
        <v>1025</v>
      </c>
      <c r="C6">
        <v>15</v>
      </c>
      <c r="D6">
        <v>0.65</v>
      </c>
      <c r="K6" s="1"/>
      <c r="L6" s="1"/>
      <c r="M6" s="1"/>
    </row>
    <row r="7" spans="1:13" ht="15">
      <c r="A7" t="s">
        <v>193</v>
      </c>
      <c r="B7">
        <v>1600</v>
      </c>
      <c r="C7">
        <v>15</v>
      </c>
      <c r="D7">
        <v>0.8</v>
      </c>
      <c r="K7" s="1"/>
      <c r="L7" s="1"/>
      <c r="M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7" spans="1:2" ht="15">
      <c r="A17" s="44"/>
      <c r="B17" s="45"/>
    </row>
    <row r="20" spans="1:2" ht="15">
      <c r="A20" s="46"/>
      <c r="B20" s="71"/>
    </row>
    <row r="21" spans="1:2" ht="15">
      <c r="A21" s="46"/>
      <c r="B21" s="71"/>
    </row>
    <row r="23" spans="1:2" ht="15">
      <c r="A23" s="4"/>
      <c r="B23" s="71"/>
    </row>
    <row r="24" spans="1:2" ht="15">
      <c r="A24" s="46"/>
      <c r="B24" s="71"/>
    </row>
    <row r="25" spans="1:2" ht="15">
      <c r="A25" s="4"/>
      <c r="B25" s="71"/>
    </row>
    <row r="26" spans="1:2" ht="15">
      <c r="A26" s="4"/>
      <c r="B26" s="71"/>
    </row>
    <row r="27" spans="1:2" ht="15">
      <c r="A27" s="4"/>
      <c r="B27" s="71"/>
    </row>
    <row r="28" spans="1:2" ht="15">
      <c r="A28" s="4"/>
      <c r="B28" s="71"/>
    </row>
    <row r="29" spans="1:2" ht="15">
      <c r="A29" s="46"/>
      <c r="B29" s="71"/>
    </row>
    <row r="30" spans="1:2" ht="15">
      <c r="A30" s="4"/>
      <c r="B30" s="71"/>
    </row>
    <row r="31" spans="1:2" ht="15">
      <c r="A31" s="4"/>
      <c r="B31" s="71"/>
    </row>
    <row r="32" spans="1:2" ht="15">
      <c r="A32" s="46"/>
      <c r="B32" s="71"/>
    </row>
    <row r="33" spans="1:2" ht="15">
      <c r="A33" s="46"/>
      <c r="B33" s="71"/>
    </row>
    <row r="34" spans="1:2" ht="15">
      <c r="A34" s="4"/>
      <c r="B34" s="71"/>
    </row>
    <row r="35" spans="1:2" ht="15">
      <c r="A35" s="46"/>
      <c r="B35" s="71"/>
    </row>
    <row r="36" spans="1:2" ht="15">
      <c r="A36" s="23"/>
      <c r="B36" s="4"/>
    </row>
    <row r="37" spans="1:2" ht="15">
      <c r="A37" s="46"/>
      <c r="B37" s="71"/>
    </row>
    <row r="38" spans="1:2" ht="15">
      <c r="A38" s="46"/>
      <c r="B38" s="71"/>
    </row>
    <row r="39" spans="1:2" ht="15">
      <c r="A39" s="46"/>
      <c r="B39" s="71"/>
    </row>
    <row r="40" spans="1:2" ht="15">
      <c r="A40" s="46"/>
      <c r="B40" s="1"/>
    </row>
    <row r="41" spans="1:2" ht="15">
      <c r="A41" s="46"/>
      <c r="B41" s="71"/>
    </row>
    <row r="42" spans="1:2" ht="15">
      <c r="A42" s="4"/>
      <c r="B42" s="72"/>
    </row>
    <row r="43" spans="1:2" ht="15">
      <c r="A43" s="4"/>
      <c r="B43" s="72"/>
    </row>
    <row r="44" spans="1:2" ht="15">
      <c r="A44" s="1"/>
      <c r="B44" s="73"/>
    </row>
    <row r="45" spans="1:2" ht="15">
      <c r="A45" s="1"/>
      <c r="B45" s="73"/>
    </row>
    <row r="46" spans="1:2" ht="15">
      <c r="A46" s="1"/>
      <c r="B46" s="73"/>
    </row>
    <row r="47" spans="1:2" ht="15">
      <c r="A47" s="1"/>
      <c r="B47" s="73"/>
    </row>
    <row r="48" spans="1:2" ht="15">
      <c r="A48" s="1"/>
      <c r="B48" s="73"/>
    </row>
    <row r="49" spans="1:2" ht="15">
      <c r="A49" s="1"/>
      <c r="B49" s="73"/>
    </row>
    <row r="50" spans="1:2" ht="15">
      <c r="A50" s="74"/>
      <c r="B50" s="71"/>
    </row>
    <row r="51" spans="1:2" ht="15">
      <c r="A51" s="74"/>
      <c r="B51" s="71"/>
    </row>
    <row r="52" spans="1:2" ht="15">
      <c r="A52" s="43"/>
      <c r="B52" s="4"/>
    </row>
    <row r="53" spans="1:2" ht="15">
      <c r="A53" s="4"/>
      <c r="B53" s="4"/>
    </row>
  </sheetData>
  <sheetProtection/>
  <dataValidations count="1">
    <dataValidation type="list" allowBlank="1" showInputMessage="1" showErrorMessage="1" sqref="C16">
      <formula1>yesno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9">
      <selection activeCell="G36" sqref="G36"/>
    </sheetView>
  </sheetViews>
  <sheetFormatPr defaultColWidth="9.140625" defaultRowHeight="15"/>
  <cols>
    <col min="1" max="1" width="8.28125" style="0" bestFit="1" customWidth="1"/>
    <col min="2" max="2" width="21.7109375" style="0" bestFit="1" customWidth="1"/>
    <col min="3" max="3" width="14.8515625" style="0" bestFit="1" customWidth="1"/>
    <col min="4" max="4" width="14.28125" style="0" bestFit="1" customWidth="1"/>
    <col min="5" max="5" width="14.7109375" style="0" bestFit="1" customWidth="1"/>
    <col min="6" max="6" width="14.140625" style="0" bestFit="1" customWidth="1"/>
    <col min="7" max="7" width="21.00390625" style="0" bestFit="1" customWidth="1"/>
    <col min="8" max="8" width="28.421875" style="0" bestFit="1" customWidth="1"/>
    <col min="9" max="9" width="22.7109375" style="0" bestFit="1" customWidth="1"/>
    <col min="10" max="10" width="21.8515625" style="0" bestFit="1" customWidth="1"/>
    <col min="11" max="11" width="25.57421875" style="0" bestFit="1" customWidth="1"/>
  </cols>
  <sheetData>
    <row r="1" spans="1:11" ht="15.75" thickBot="1">
      <c r="A1" s="3" t="s">
        <v>65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68</v>
      </c>
      <c r="H1" s="2" t="s">
        <v>69</v>
      </c>
      <c r="I1" s="2" t="s">
        <v>70</v>
      </c>
      <c r="J1" s="2" t="s">
        <v>66</v>
      </c>
      <c r="K1" s="2" t="s">
        <v>67</v>
      </c>
    </row>
    <row r="2" spans="1:11" ht="15">
      <c r="A2" s="17" t="s">
        <v>233</v>
      </c>
      <c r="B2" s="15">
        <v>51.4</v>
      </c>
      <c r="C2" s="18">
        <v>75</v>
      </c>
      <c r="D2" s="18">
        <v>32</v>
      </c>
      <c r="E2" s="15">
        <v>87</v>
      </c>
      <c r="F2" s="15">
        <v>20</v>
      </c>
      <c r="G2" s="18">
        <v>64</v>
      </c>
      <c r="H2" s="18">
        <v>128</v>
      </c>
      <c r="I2" s="18">
        <v>176</v>
      </c>
      <c r="J2" s="18">
        <v>4.8</v>
      </c>
      <c r="K2" s="19">
        <v>41</v>
      </c>
    </row>
    <row r="3" spans="1:11" ht="15">
      <c r="A3" s="153" t="s">
        <v>234</v>
      </c>
      <c r="B3" s="16">
        <v>62</v>
      </c>
      <c r="C3" s="16">
        <v>83</v>
      </c>
      <c r="D3" s="16">
        <v>28</v>
      </c>
      <c r="E3" s="16">
        <v>118</v>
      </c>
      <c r="F3" s="16">
        <v>17</v>
      </c>
      <c r="G3" s="152">
        <v>171</v>
      </c>
      <c r="H3" s="16">
        <v>77</v>
      </c>
      <c r="I3" s="16">
        <v>116</v>
      </c>
      <c r="J3" s="16">
        <v>7</v>
      </c>
      <c r="K3" s="154">
        <v>60</v>
      </c>
    </row>
    <row r="4" spans="1:11" ht="15">
      <c r="A4" s="96"/>
      <c r="B4" s="1"/>
      <c r="C4" s="1"/>
      <c r="D4" s="1"/>
      <c r="E4" s="1"/>
      <c r="F4" s="1"/>
      <c r="G4" s="1"/>
      <c r="H4" s="1"/>
      <c r="I4" s="1"/>
      <c r="J4" s="1"/>
      <c r="K4" s="93"/>
    </row>
    <row r="5" spans="1:11" ht="15">
      <c r="A5" s="96"/>
      <c r="B5" s="1"/>
      <c r="C5" s="1"/>
      <c r="D5" s="1"/>
      <c r="E5" s="1"/>
      <c r="F5" s="1"/>
      <c r="G5" s="1"/>
      <c r="H5" s="1"/>
      <c r="I5" s="1"/>
      <c r="J5" s="1"/>
      <c r="K5" s="93"/>
    </row>
    <row r="6" spans="1:11" ht="15">
      <c r="A6" s="96"/>
      <c r="B6" s="1"/>
      <c r="C6" s="1"/>
      <c r="D6" s="1"/>
      <c r="E6" s="1"/>
      <c r="F6" s="1"/>
      <c r="G6" s="1"/>
      <c r="H6" s="1"/>
      <c r="I6" s="1"/>
      <c r="J6" s="1"/>
      <c r="K6" s="93"/>
    </row>
    <row r="7" spans="1:11" ht="15">
      <c r="A7" s="96"/>
      <c r="B7" s="1"/>
      <c r="C7" s="1"/>
      <c r="D7" s="1"/>
      <c r="E7" s="1"/>
      <c r="F7" s="1"/>
      <c r="G7" s="1"/>
      <c r="H7" s="1"/>
      <c r="I7" s="1"/>
      <c r="J7" s="1"/>
      <c r="K7" s="93"/>
    </row>
    <row r="8" spans="1:11" ht="15">
      <c r="A8" s="96"/>
      <c r="B8" s="1"/>
      <c r="C8" s="1"/>
      <c r="D8" s="1"/>
      <c r="E8" s="1"/>
      <c r="F8" s="1"/>
      <c r="G8" s="1"/>
      <c r="H8" s="1"/>
      <c r="I8" s="1"/>
      <c r="J8" s="1"/>
      <c r="K8" s="93"/>
    </row>
    <row r="9" spans="1:11" ht="15">
      <c r="A9" s="96"/>
      <c r="B9" s="1"/>
      <c r="C9" s="1"/>
      <c r="D9" s="1"/>
      <c r="E9" s="1"/>
      <c r="F9" s="1"/>
      <c r="G9" s="1"/>
      <c r="H9" s="1"/>
      <c r="I9" s="1"/>
      <c r="J9" s="1"/>
      <c r="K9" s="93"/>
    </row>
    <row r="10" spans="1:11" ht="15">
      <c r="A10" s="96"/>
      <c r="B10" s="1"/>
      <c r="C10" s="1"/>
      <c r="D10" s="1"/>
      <c r="E10" s="1"/>
      <c r="F10" s="1"/>
      <c r="G10" s="1"/>
      <c r="H10" s="1"/>
      <c r="I10" s="1"/>
      <c r="J10" s="1"/>
      <c r="K10" s="93"/>
    </row>
    <row r="11" spans="1:11" ht="15">
      <c r="A11" s="96"/>
      <c r="B11" s="1"/>
      <c r="C11" s="1"/>
      <c r="D11" s="1"/>
      <c r="E11" s="1"/>
      <c r="F11" s="1"/>
      <c r="G11" s="1"/>
      <c r="H11" s="1"/>
      <c r="I11" s="1"/>
      <c r="J11" s="1"/>
      <c r="K11" s="93"/>
    </row>
    <row r="12" spans="1:11" ht="15">
      <c r="A12" s="96"/>
      <c r="B12" s="1"/>
      <c r="C12" s="1"/>
      <c r="D12" s="1"/>
      <c r="E12" s="1"/>
      <c r="F12" s="1"/>
      <c r="G12" s="1"/>
      <c r="H12" s="1"/>
      <c r="I12" s="1"/>
      <c r="J12" s="1"/>
      <c r="K12" s="93"/>
    </row>
    <row r="13" spans="1:11" ht="15">
      <c r="A13" s="96"/>
      <c r="B13" s="1"/>
      <c r="C13" s="1"/>
      <c r="D13" s="1"/>
      <c r="E13" s="1"/>
      <c r="F13" s="1"/>
      <c r="G13" s="1"/>
      <c r="H13" s="1"/>
      <c r="I13" s="1"/>
      <c r="J13" s="1"/>
      <c r="K13" s="93"/>
    </row>
    <row r="14" spans="1:11" ht="15">
      <c r="A14" s="96"/>
      <c r="B14" s="1"/>
      <c r="C14" s="1"/>
      <c r="D14" s="1"/>
      <c r="E14" s="1"/>
      <c r="F14" s="1"/>
      <c r="G14" s="1"/>
      <c r="H14" s="1"/>
      <c r="I14" s="1"/>
      <c r="J14" s="1"/>
      <c r="K14" s="93"/>
    </row>
    <row r="15" spans="1:11" ht="15">
      <c r="A15" s="96"/>
      <c r="B15" s="1"/>
      <c r="C15" s="1"/>
      <c r="D15" s="1"/>
      <c r="E15" s="1"/>
      <c r="F15" s="1"/>
      <c r="G15" s="1"/>
      <c r="H15" s="1"/>
      <c r="I15" s="1"/>
      <c r="J15" s="1"/>
      <c r="K15" s="93"/>
    </row>
    <row r="16" spans="1:11" ht="15">
      <c r="A16" s="96"/>
      <c r="B16" s="1"/>
      <c r="C16" s="1"/>
      <c r="D16" s="1"/>
      <c r="E16" s="1"/>
      <c r="F16" s="1"/>
      <c r="G16" s="1"/>
      <c r="H16" s="1"/>
      <c r="I16" s="1"/>
      <c r="J16" s="1"/>
      <c r="K16" s="93"/>
    </row>
    <row r="17" spans="1:11" ht="15">
      <c r="A17" s="96"/>
      <c r="B17" s="1"/>
      <c r="C17" s="1"/>
      <c r="D17" s="1"/>
      <c r="E17" s="1"/>
      <c r="F17" s="1"/>
      <c r="G17" s="1"/>
      <c r="H17" s="1"/>
      <c r="I17" s="1"/>
      <c r="J17" s="1"/>
      <c r="K17" s="93"/>
    </row>
    <row r="18" spans="1:11" ht="15">
      <c r="A18" s="96"/>
      <c r="B18" s="1"/>
      <c r="C18" s="1"/>
      <c r="D18" s="1"/>
      <c r="E18" s="1"/>
      <c r="F18" s="1"/>
      <c r="G18" s="1"/>
      <c r="H18" s="1"/>
      <c r="I18" s="1"/>
      <c r="J18" s="1"/>
      <c r="K18" s="93"/>
    </row>
    <row r="19" spans="1:11" ht="15">
      <c r="A19" s="96"/>
      <c r="B19" s="1"/>
      <c r="C19" s="1"/>
      <c r="D19" s="1"/>
      <c r="E19" s="1"/>
      <c r="F19" s="1"/>
      <c r="G19" s="1"/>
      <c r="H19" s="1"/>
      <c r="I19" s="1"/>
      <c r="J19" s="1"/>
      <c r="K19" s="93"/>
    </row>
    <row r="20" spans="1:11" ht="15">
      <c r="A20" s="96"/>
      <c r="B20" s="1"/>
      <c r="C20" s="1"/>
      <c r="D20" s="1"/>
      <c r="E20" s="1"/>
      <c r="F20" s="1"/>
      <c r="G20" s="1"/>
      <c r="H20" s="1"/>
      <c r="I20" s="1"/>
      <c r="J20" s="1"/>
      <c r="K20" s="93"/>
    </row>
    <row r="21" spans="1:11" ht="15">
      <c r="A21" s="96"/>
      <c r="B21" s="1"/>
      <c r="C21" s="1"/>
      <c r="D21" s="1"/>
      <c r="E21" s="1"/>
      <c r="F21" s="1"/>
      <c r="G21" s="1"/>
      <c r="H21" s="1"/>
      <c r="I21" s="1"/>
      <c r="J21" s="1"/>
      <c r="K21" s="93"/>
    </row>
    <row r="22" spans="1:11" ht="15">
      <c r="A22" s="96"/>
      <c r="B22" s="1"/>
      <c r="C22" s="1"/>
      <c r="D22" s="1"/>
      <c r="E22" s="1"/>
      <c r="F22" s="1"/>
      <c r="G22" s="1"/>
      <c r="H22" s="1"/>
      <c r="I22" s="1"/>
      <c r="J22" s="1"/>
      <c r="K22" s="93"/>
    </row>
    <row r="23" spans="1:11" ht="15">
      <c r="A23" s="96"/>
      <c r="B23" s="1"/>
      <c r="C23" s="1"/>
      <c r="D23" s="1"/>
      <c r="E23" s="1"/>
      <c r="F23" s="1"/>
      <c r="G23" s="1"/>
      <c r="H23" s="1"/>
      <c r="I23" s="1"/>
      <c r="J23" s="1"/>
      <c r="K23" s="93"/>
    </row>
    <row r="24" spans="1:11" ht="15">
      <c r="A24" s="96"/>
      <c r="B24" s="1"/>
      <c r="C24" s="1"/>
      <c r="D24" s="1"/>
      <c r="E24" s="1"/>
      <c r="F24" s="1"/>
      <c r="G24" s="1"/>
      <c r="H24" s="1"/>
      <c r="I24" s="1"/>
      <c r="J24" s="1"/>
      <c r="K24" s="93"/>
    </row>
    <row r="25" spans="1:11" ht="15">
      <c r="A25" s="96"/>
      <c r="B25" s="1"/>
      <c r="C25" s="1"/>
      <c r="D25" s="1"/>
      <c r="E25" s="1"/>
      <c r="F25" s="1"/>
      <c r="G25" s="1"/>
      <c r="H25" s="1"/>
      <c r="I25" s="1"/>
      <c r="J25" s="1"/>
      <c r="K25" s="93"/>
    </row>
    <row r="26" spans="1:11" ht="15">
      <c r="A26" s="96"/>
      <c r="B26" s="1"/>
      <c r="C26" s="1"/>
      <c r="D26" s="1"/>
      <c r="E26" s="1"/>
      <c r="F26" s="1"/>
      <c r="G26" s="1"/>
      <c r="H26" s="1"/>
      <c r="I26" s="1"/>
      <c r="J26" s="1"/>
      <c r="K26" s="93"/>
    </row>
    <row r="27" spans="1:11" ht="15">
      <c r="A27" s="96"/>
      <c r="B27" s="1"/>
      <c r="C27" s="1"/>
      <c r="D27" s="1"/>
      <c r="E27" s="1"/>
      <c r="F27" s="1"/>
      <c r="G27" s="1"/>
      <c r="H27" s="1"/>
      <c r="I27" s="1"/>
      <c r="J27" s="1"/>
      <c r="K27" s="93"/>
    </row>
    <row r="28" spans="1:11" ht="15.75" thickBo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39"/>
    </row>
    <row r="31" ht="15.75" thickBot="1"/>
    <row r="32" spans="4:7" ht="15.75" thickBot="1">
      <c r="D32" s="83" t="s">
        <v>61</v>
      </c>
      <c r="E32" s="101" t="s">
        <v>233</v>
      </c>
      <c r="F32" s="1"/>
      <c r="G32" s="1"/>
    </row>
    <row r="33" spans="4:7" ht="15.75" thickTop="1">
      <c r="D33" s="90" t="s">
        <v>71</v>
      </c>
      <c r="E33" s="92">
        <f>VLOOKUP(namedropdown,placedata,2)</f>
        <v>51.4</v>
      </c>
      <c r="F33" s="1"/>
      <c r="G33" s="1"/>
    </row>
    <row r="34" spans="4:7" ht="15">
      <c r="D34" s="90" t="s">
        <v>72</v>
      </c>
      <c r="E34" s="92">
        <f>VLOOKUP(namedropdown,placedata,3)</f>
        <v>75</v>
      </c>
      <c r="F34" s="1"/>
      <c r="G34" s="1"/>
    </row>
    <row r="35" spans="4:7" ht="15">
      <c r="D35" s="90" t="s">
        <v>73</v>
      </c>
      <c r="E35" s="92">
        <f>VLOOKUP(namedropdown,placedata,4)</f>
        <v>32</v>
      </c>
      <c r="F35" s="1"/>
      <c r="G35" s="1"/>
    </row>
    <row r="36" spans="4:7" ht="15">
      <c r="D36" s="90" t="s">
        <v>74</v>
      </c>
      <c r="E36" s="92">
        <f>VLOOKUP(namedropdown,placedata,5)</f>
        <v>87</v>
      </c>
      <c r="F36" s="1"/>
      <c r="G36" s="1"/>
    </row>
    <row r="37" spans="4:7" ht="15">
      <c r="D37" s="90" t="s">
        <v>75</v>
      </c>
      <c r="E37" s="92">
        <f>VLOOKUP(namedropdown,placedata,6)</f>
        <v>20</v>
      </c>
      <c r="F37" s="1"/>
      <c r="G37" s="1"/>
    </row>
    <row r="38" spans="4:5" ht="15">
      <c r="D38" s="90" t="s">
        <v>68</v>
      </c>
      <c r="E38" s="92">
        <f>VLOOKUP(namedropdown,placedata,7)</f>
        <v>64</v>
      </c>
    </row>
    <row r="39" spans="4:5" ht="15">
      <c r="D39" s="90" t="s">
        <v>69</v>
      </c>
      <c r="E39" s="92">
        <f>VLOOKUP(namedropdown,placedata,8)</f>
        <v>128</v>
      </c>
    </row>
    <row r="40" spans="4:5" ht="15">
      <c r="D40" s="90" t="s">
        <v>70</v>
      </c>
      <c r="E40" s="92">
        <f>VLOOKUP(namedropdown,placedata,9)</f>
        <v>176</v>
      </c>
    </row>
    <row r="41" spans="4:5" ht="15">
      <c r="D41" s="90" t="s">
        <v>66</v>
      </c>
      <c r="E41" s="92">
        <f>VLOOKUP(namedropdown,placedata,10)</f>
        <v>4.8</v>
      </c>
    </row>
    <row r="42" spans="4:5" ht="15.75" thickBot="1">
      <c r="D42" s="107" t="s">
        <v>67</v>
      </c>
      <c r="E42" s="108">
        <f>VLOOKUP(namedropdown,placedata,11)</f>
        <v>41</v>
      </c>
    </row>
    <row r="43" spans="4:5" ht="15">
      <c r="D43" s="3"/>
      <c r="E43" s="77"/>
    </row>
    <row r="44" spans="4:5" ht="15">
      <c r="D44" s="1"/>
      <c r="E44" s="1"/>
    </row>
    <row r="45" spans="4:5" ht="15">
      <c r="D45" s="1"/>
      <c r="E45" s="1"/>
    </row>
    <row r="46" spans="4:5" ht="15">
      <c r="D46" s="1"/>
      <c r="E46" s="1"/>
    </row>
    <row r="47" spans="4:5" ht="15">
      <c r="D47" s="1"/>
      <c r="E47" s="1"/>
    </row>
    <row r="48" spans="4:5" ht="15">
      <c r="D48" s="1"/>
      <c r="E48" s="1"/>
    </row>
    <row r="49" spans="4:7" ht="15">
      <c r="D49" s="1"/>
      <c r="E49" s="1"/>
      <c r="F49" s="1"/>
      <c r="G49" s="1"/>
    </row>
    <row r="50" spans="4:7" ht="15">
      <c r="D50" s="1"/>
      <c r="E50" s="1"/>
      <c r="F50" s="1"/>
      <c r="G50" s="1"/>
    </row>
  </sheetData>
  <sheetProtection/>
  <dataValidations count="1">
    <dataValidation type="list" allowBlank="1" showInputMessage="1" showErrorMessage="1" sqref="E32">
      <formula1>location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2" sqref="C22"/>
    </sheetView>
  </sheetViews>
  <sheetFormatPr defaultColWidth="9.140625" defaultRowHeight="15"/>
  <cols>
    <col min="1" max="1" width="11.421875" style="0" customWidth="1"/>
    <col min="2" max="2" width="27.140625" style="0" customWidth="1"/>
    <col min="3" max="3" width="29.28125" style="0" customWidth="1"/>
    <col min="4" max="4" width="33.00390625" style="0" customWidth="1"/>
    <col min="5" max="5" width="30.57421875" style="0" customWidth="1"/>
  </cols>
  <sheetData>
    <row r="1" spans="1:5" ht="15">
      <c r="A1" s="1" t="s">
        <v>303</v>
      </c>
      <c r="B1" s="1" t="s">
        <v>309</v>
      </c>
      <c r="C1" s="240" t="s">
        <v>308</v>
      </c>
      <c r="D1" s="285" t="s">
        <v>306</v>
      </c>
      <c r="E1" s="285" t="s">
        <v>307</v>
      </c>
    </row>
    <row r="2" spans="1:5" ht="15">
      <c r="A2" s="1">
        <v>1</v>
      </c>
      <c r="B2" s="283">
        <v>5369</v>
      </c>
      <c r="C2" s="79">
        <v>4148</v>
      </c>
      <c r="D2" s="286">
        <v>5210</v>
      </c>
      <c r="E2" s="287">
        <v>2883</v>
      </c>
    </row>
    <row r="3" spans="1:5" ht="15">
      <c r="A3" s="1">
        <v>2</v>
      </c>
      <c r="B3" s="283">
        <v>6044</v>
      </c>
      <c r="C3" s="79">
        <v>5560</v>
      </c>
      <c r="D3" s="286">
        <v>5210</v>
      </c>
      <c r="E3" s="286">
        <v>3667</v>
      </c>
    </row>
    <row r="4" spans="1:5" ht="15">
      <c r="A4" s="4">
        <v>3</v>
      </c>
      <c r="B4" s="283">
        <v>6895</v>
      </c>
      <c r="C4" s="79">
        <v>6974</v>
      </c>
      <c r="D4" s="286">
        <v>5514</v>
      </c>
      <c r="E4" s="286">
        <v>4450</v>
      </c>
    </row>
    <row r="5" spans="1:5" ht="15">
      <c r="A5" s="4">
        <v>4</v>
      </c>
      <c r="B5" s="283">
        <v>8069</v>
      </c>
      <c r="C5" s="79">
        <v>8695</v>
      </c>
      <c r="D5" s="286">
        <v>5889</v>
      </c>
      <c r="E5" s="286">
        <v>5234</v>
      </c>
    </row>
    <row r="6" spans="1:5" ht="15">
      <c r="A6" s="4">
        <v>5</v>
      </c>
      <c r="B6" s="283">
        <v>9243</v>
      </c>
      <c r="C6" s="79">
        <v>10926</v>
      </c>
      <c r="D6" s="286">
        <v>6262</v>
      </c>
      <c r="E6" s="286">
        <v>6018</v>
      </c>
    </row>
    <row r="7" spans="1:5" ht="15">
      <c r="A7" s="4">
        <v>6</v>
      </c>
      <c r="B7" s="283">
        <v>10418</v>
      </c>
      <c r="C7" s="79">
        <v>13420</v>
      </c>
      <c r="D7" s="286">
        <v>6752</v>
      </c>
      <c r="E7" s="286">
        <v>6802</v>
      </c>
    </row>
    <row r="8" spans="1:5" ht="15">
      <c r="A8" s="4">
        <v>7</v>
      </c>
      <c r="B8" s="283">
        <v>11592</v>
      </c>
      <c r="C8" s="79">
        <v>16174</v>
      </c>
      <c r="D8" s="286">
        <v>7403</v>
      </c>
      <c r="E8" s="286">
        <v>7586</v>
      </c>
    </row>
    <row r="9" spans="1:5" ht="15">
      <c r="A9" s="4">
        <v>8</v>
      </c>
      <c r="B9" s="283">
        <v>12766</v>
      </c>
      <c r="C9" s="79">
        <v>19182</v>
      </c>
      <c r="D9" s="286">
        <v>8054</v>
      </c>
      <c r="E9" s="286">
        <v>8369</v>
      </c>
    </row>
    <row r="10" spans="1:5" ht="15">
      <c r="A10" s="4">
        <v>9</v>
      </c>
      <c r="B10" s="283">
        <v>13934</v>
      </c>
      <c r="C10" s="79">
        <v>22441</v>
      </c>
      <c r="D10" s="286">
        <v>8705</v>
      </c>
      <c r="E10" s="286">
        <v>9153</v>
      </c>
    </row>
    <row r="11" spans="1:5" ht="15">
      <c r="A11" s="4">
        <v>10</v>
      </c>
      <c r="B11" s="283">
        <v>15114</v>
      </c>
      <c r="C11" s="79">
        <v>25946</v>
      </c>
      <c r="D11" s="286">
        <v>9357</v>
      </c>
      <c r="E11" s="286">
        <v>9937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6" sqref="D16"/>
    </sheetView>
  </sheetViews>
  <sheetFormatPr defaultColWidth="9.140625" defaultRowHeight="15"/>
  <cols>
    <col min="1" max="1" width="5.57421875" style="0" customWidth="1"/>
    <col min="2" max="2" width="14.28125" style="0" customWidth="1"/>
    <col min="3" max="3" width="14.8515625" style="0" customWidth="1"/>
  </cols>
  <sheetData>
    <row r="1" spans="1:3" ht="15">
      <c r="A1" s="4"/>
      <c r="B1" s="284" t="s">
        <v>304</v>
      </c>
      <c r="C1" s="285" t="s">
        <v>305</v>
      </c>
    </row>
    <row r="2" spans="1:3" ht="15">
      <c r="A2" s="4">
        <v>1</v>
      </c>
      <c r="B2" s="1">
        <v>0</v>
      </c>
      <c r="C2" s="1">
        <v>0.28</v>
      </c>
    </row>
    <row r="3" spans="1:3" ht="15">
      <c r="A3" s="4">
        <v>2</v>
      </c>
      <c r="B3" s="1">
        <v>0</v>
      </c>
      <c r="C3" s="1">
        <v>0.56</v>
      </c>
    </row>
    <row r="4" spans="1:3" ht="15">
      <c r="A4" s="4">
        <v>3</v>
      </c>
      <c r="B4" s="1">
        <v>0.11</v>
      </c>
      <c r="C4" s="1">
        <v>0.84</v>
      </c>
    </row>
    <row r="5" spans="1:3" ht="15">
      <c r="A5" s="4">
        <v>4</v>
      </c>
      <c r="B5" s="4">
        <v>0.24</v>
      </c>
      <c r="C5" s="4">
        <v>1.13</v>
      </c>
    </row>
    <row r="6" spans="1:3" ht="15">
      <c r="A6" s="4">
        <v>5</v>
      </c>
      <c r="B6" s="4">
        <v>0.38</v>
      </c>
      <c r="C6" s="4">
        <v>1.41</v>
      </c>
    </row>
    <row r="7" spans="1:3" ht="15">
      <c r="A7" s="4">
        <v>6</v>
      </c>
      <c r="B7" s="4">
        <v>0.55</v>
      </c>
      <c r="C7" s="4">
        <v>1.69</v>
      </c>
    </row>
    <row r="8" spans="1:3" ht="15">
      <c r="A8" s="4">
        <v>7</v>
      </c>
      <c r="B8" s="4">
        <v>0.79</v>
      </c>
      <c r="C8" s="4">
        <v>1.97</v>
      </c>
    </row>
    <row r="9" spans="1:3" ht="15">
      <c r="A9" s="4">
        <v>8</v>
      </c>
      <c r="B9" s="4">
        <v>1.02</v>
      </c>
      <c r="C9" s="4">
        <v>2.25</v>
      </c>
    </row>
    <row r="10" spans="1:3" ht="15">
      <c r="A10" s="4">
        <v>9</v>
      </c>
      <c r="B10" s="4">
        <v>1.26</v>
      </c>
      <c r="C10" s="4">
        <v>2.53</v>
      </c>
    </row>
    <row r="11" spans="1:3" ht="15">
      <c r="A11" s="4">
        <v>10</v>
      </c>
      <c r="B11" s="4">
        <v>1.49</v>
      </c>
      <c r="C11" s="4">
        <v>2.81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C1">
      <selection activeCell="C1" sqref="C1:D16384"/>
    </sheetView>
  </sheetViews>
  <sheetFormatPr defaultColWidth="9.140625" defaultRowHeight="15"/>
  <cols>
    <col min="1" max="1" width="15.140625" style="0" customWidth="1"/>
    <col min="2" max="2" width="34.421875" style="0" customWidth="1"/>
    <col min="3" max="4" width="35.7109375" style="0" customWidth="1"/>
    <col min="5" max="5" width="25.8515625" style="0" customWidth="1"/>
  </cols>
  <sheetData>
    <row r="1" spans="1:5" ht="15">
      <c r="A1" s="1" t="s">
        <v>314</v>
      </c>
      <c r="B1" s="1" t="s">
        <v>311</v>
      </c>
      <c r="C1" s="1" t="s">
        <v>310</v>
      </c>
      <c r="D1" s="1" t="s">
        <v>312</v>
      </c>
      <c r="E1" s="4" t="s">
        <v>313</v>
      </c>
    </row>
    <row r="2" spans="1:5" ht="15">
      <c r="A2" s="1">
        <v>1</v>
      </c>
      <c r="B2" s="38">
        <v>346</v>
      </c>
      <c r="C2" s="38">
        <v>220</v>
      </c>
      <c r="D2" s="4">
        <v>12</v>
      </c>
      <c r="E2" s="4">
        <v>10</v>
      </c>
    </row>
    <row r="3" spans="1:5" ht="15">
      <c r="A3" s="1">
        <v>2</v>
      </c>
      <c r="B3" s="38">
        <v>547</v>
      </c>
      <c r="C3" s="38">
        <v>372</v>
      </c>
      <c r="D3" s="4">
        <v>8</v>
      </c>
      <c r="E3" s="4">
        <v>6</v>
      </c>
    </row>
    <row r="4" spans="1:5" ht="15">
      <c r="A4" s="1">
        <v>3</v>
      </c>
      <c r="B4" s="38">
        <v>736</v>
      </c>
      <c r="C4" s="38">
        <v>524</v>
      </c>
      <c r="D4" s="4">
        <v>6</v>
      </c>
      <c r="E4" s="4">
        <v>4</v>
      </c>
    </row>
    <row r="5" spans="1:5" ht="15">
      <c r="A5" s="4">
        <v>4</v>
      </c>
      <c r="B5" s="288">
        <v>904</v>
      </c>
      <c r="C5" s="288">
        <v>655</v>
      </c>
      <c r="D5" s="4">
        <v>5</v>
      </c>
      <c r="E5" s="4">
        <v>3</v>
      </c>
    </row>
    <row r="6" spans="1:5" ht="15">
      <c r="A6" s="4">
        <v>5</v>
      </c>
      <c r="B6" s="288">
        <v>1072</v>
      </c>
      <c r="C6" s="288">
        <v>752</v>
      </c>
      <c r="D6" s="4">
        <v>4</v>
      </c>
      <c r="E6" s="4">
        <v>3</v>
      </c>
    </row>
    <row r="7" spans="1:5" ht="15">
      <c r="A7" s="4">
        <v>6</v>
      </c>
      <c r="B7" s="288">
        <v>1240</v>
      </c>
      <c r="C7" s="288">
        <v>832</v>
      </c>
      <c r="D7" s="4">
        <v>3</v>
      </c>
      <c r="E7" s="4">
        <v>3</v>
      </c>
    </row>
    <row r="8" spans="1:5" ht="15">
      <c r="A8" s="4">
        <v>7</v>
      </c>
      <c r="B8" s="288">
        <v>1407</v>
      </c>
      <c r="C8" s="288">
        <v>894</v>
      </c>
      <c r="D8" s="4">
        <v>3</v>
      </c>
      <c r="E8" s="4">
        <v>2</v>
      </c>
    </row>
    <row r="9" spans="1:5" ht="15">
      <c r="A9" s="4">
        <v>8</v>
      </c>
      <c r="B9" s="288">
        <v>1575</v>
      </c>
      <c r="C9" s="288">
        <v>940</v>
      </c>
      <c r="D9" s="4">
        <v>3</v>
      </c>
      <c r="E9" s="4">
        <v>2</v>
      </c>
    </row>
    <row r="10" spans="1:5" ht="15">
      <c r="A10" s="4">
        <v>9</v>
      </c>
      <c r="B10" s="288">
        <v>1743</v>
      </c>
      <c r="C10" s="288">
        <v>969</v>
      </c>
      <c r="D10" s="4">
        <v>2</v>
      </c>
      <c r="E10" s="4">
        <v>2</v>
      </c>
    </row>
    <row r="11" spans="1:5" ht="15">
      <c r="A11" s="4">
        <v>10</v>
      </c>
      <c r="B11" s="288">
        <v>1910</v>
      </c>
      <c r="C11" s="288">
        <v>981</v>
      </c>
      <c r="D11" s="4">
        <v>2</v>
      </c>
      <c r="E11" s="4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5.57421875" style="0" bestFit="1" customWidth="1"/>
    <col min="2" max="2" width="11.00390625" style="0" customWidth="1"/>
    <col min="3" max="3" width="12.28125" style="0" bestFit="1" customWidth="1"/>
    <col min="4" max="4" width="9.7109375" style="0" customWidth="1"/>
    <col min="5" max="5" width="22.28125" style="0" bestFit="1" customWidth="1"/>
    <col min="6" max="6" width="23.7109375" style="0" bestFit="1" customWidth="1"/>
  </cols>
  <sheetData>
    <row r="1" spans="1:7" ht="15.75" thickBot="1">
      <c r="A1" s="48" t="s">
        <v>14</v>
      </c>
      <c r="B1" s="49" t="s">
        <v>15</v>
      </c>
      <c r="C1" s="49"/>
      <c r="D1" s="49"/>
      <c r="E1" s="49"/>
      <c r="F1" s="49"/>
      <c r="G1" s="49"/>
    </row>
    <row r="2" spans="1:7" ht="15">
      <c r="A2" s="55" t="s">
        <v>16</v>
      </c>
      <c r="B2" s="56" t="s">
        <v>17</v>
      </c>
      <c r="C2" s="57" t="s">
        <v>211</v>
      </c>
      <c r="D2" s="56" t="s">
        <v>18</v>
      </c>
      <c r="E2" s="56" t="s">
        <v>121</v>
      </c>
      <c r="F2" s="58" t="s">
        <v>123</v>
      </c>
      <c r="G2" s="49"/>
    </row>
    <row r="3" spans="1:7" ht="15">
      <c r="A3" s="59" t="s">
        <v>19</v>
      </c>
      <c r="B3" s="51">
        <v>0.0234</v>
      </c>
      <c r="C3" s="49">
        <v>2.117</v>
      </c>
      <c r="D3" s="52">
        <v>0.497</v>
      </c>
      <c r="E3" s="53">
        <f aca="true" t="shared" si="0" ref="E3:E8">6*D3*B3</f>
        <v>0.0697788</v>
      </c>
      <c r="F3" s="60">
        <f aca="true" t="shared" si="1" ref="F3:F8">6*D3*C3</f>
        <v>6.312894</v>
      </c>
      <c r="G3" s="49"/>
    </row>
    <row r="4" spans="1:7" ht="15">
      <c r="A4" s="59" t="s">
        <v>20</v>
      </c>
      <c r="B4" s="51">
        <v>0.02</v>
      </c>
      <c r="C4" s="49">
        <v>1.314</v>
      </c>
      <c r="D4" s="52">
        <v>0.187</v>
      </c>
      <c r="E4" s="53">
        <f t="shared" si="0"/>
        <v>0.022439999999999998</v>
      </c>
      <c r="F4" s="60">
        <f t="shared" si="1"/>
        <v>1.474308</v>
      </c>
      <c r="G4" s="49"/>
    </row>
    <row r="5" spans="1:7" ht="15">
      <c r="A5" s="59" t="s">
        <v>21</v>
      </c>
      <c r="B5" s="51">
        <v>0</v>
      </c>
      <c r="C5" s="49">
        <v>0</v>
      </c>
      <c r="D5" s="52">
        <v>0.066</v>
      </c>
      <c r="E5" s="53">
        <f t="shared" si="0"/>
        <v>0</v>
      </c>
      <c r="F5" s="60">
        <f t="shared" si="1"/>
        <v>0</v>
      </c>
      <c r="G5" s="49"/>
    </row>
    <row r="6" spans="1:7" ht="15">
      <c r="A6" s="59" t="s">
        <v>22</v>
      </c>
      <c r="B6" s="51">
        <v>0</v>
      </c>
      <c r="C6" s="49">
        <v>0</v>
      </c>
      <c r="D6" s="52">
        <v>0.193</v>
      </c>
      <c r="E6" s="53">
        <f t="shared" si="0"/>
        <v>0</v>
      </c>
      <c r="F6" s="60">
        <f t="shared" si="1"/>
        <v>0</v>
      </c>
      <c r="G6" s="49"/>
    </row>
    <row r="7" spans="1:7" ht="15">
      <c r="A7" s="59" t="s">
        <v>23</v>
      </c>
      <c r="B7" s="51">
        <v>0.02</v>
      </c>
      <c r="C7" s="49">
        <v>1.915</v>
      </c>
      <c r="D7" s="52">
        <v>0.03</v>
      </c>
      <c r="E7" s="53">
        <f t="shared" si="0"/>
        <v>0.0036</v>
      </c>
      <c r="F7" s="60">
        <f t="shared" si="1"/>
        <v>0.3447</v>
      </c>
      <c r="G7" s="49"/>
    </row>
    <row r="8" spans="1:7" ht="15">
      <c r="A8" s="59" t="s">
        <v>24</v>
      </c>
      <c r="B8" s="51">
        <v>0</v>
      </c>
      <c r="C8" s="49">
        <v>1.378</v>
      </c>
      <c r="D8" s="52">
        <v>0.027</v>
      </c>
      <c r="E8" s="53">
        <f t="shared" si="0"/>
        <v>0</v>
      </c>
      <c r="F8" s="60">
        <f t="shared" si="1"/>
        <v>0.223236</v>
      </c>
      <c r="G8" s="49"/>
    </row>
    <row r="9" spans="1:7" ht="15">
      <c r="A9" s="59"/>
      <c r="B9" s="50">
        <f>IF(SUM(D3:D8)=100%,"","Grid mix error")</f>
      </c>
      <c r="C9" s="49"/>
      <c r="D9" s="54">
        <f>SUM(D3:D8)</f>
        <v>1</v>
      </c>
      <c r="E9" s="50"/>
      <c r="F9" s="61"/>
      <c r="G9" s="49"/>
    </row>
    <row r="10" spans="1:7" ht="15">
      <c r="A10" s="59" t="s">
        <v>122</v>
      </c>
      <c r="B10" s="53">
        <f>AVERAGE(E3:E8)</f>
        <v>0.015969800000000003</v>
      </c>
      <c r="C10" s="49"/>
      <c r="D10" s="50" t="s">
        <v>25</v>
      </c>
      <c r="E10" s="50"/>
      <c r="F10" s="61"/>
      <c r="G10" s="49"/>
    </row>
    <row r="11" spans="1:7" ht="15.75" thickBot="1">
      <c r="A11" s="62" t="s">
        <v>212</v>
      </c>
      <c r="B11" s="63">
        <f>AVERAGE(F3:F8)</f>
        <v>1.392523</v>
      </c>
      <c r="C11" s="64"/>
      <c r="D11" s="64"/>
      <c r="E11" s="64"/>
      <c r="F11" s="65"/>
      <c r="G11" s="49"/>
    </row>
    <row r="12" spans="1:7" ht="15">
      <c r="A12" s="49"/>
      <c r="B12" s="49"/>
      <c r="C12" s="49"/>
      <c r="D12" s="49"/>
      <c r="E12" s="49"/>
      <c r="F12" s="49"/>
      <c r="G12" s="49"/>
    </row>
    <row r="21" ht="15">
      <c r="A21" t="s">
        <v>120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channel</dc:creator>
  <cp:keywords/>
  <dc:description/>
  <cp:lastModifiedBy>Devan Hemmings</cp:lastModifiedBy>
  <dcterms:created xsi:type="dcterms:W3CDTF">2009-12-06T00:25:51Z</dcterms:created>
  <dcterms:modified xsi:type="dcterms:W3CDTF">2009-12-12T08:18:17Z</dcterms:modified>
  <cp:category/>
  <cp:version/>
  <cp:contentType/>
  <cp:contentStatus/>
</cp:coreProperties>
</file>