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1760" activeTab="3"/>
  </bookViews>
  <sheets>
    <sheet name="1.Home" sheetId="1" r:id="rId1"/>
    <sheet name="2.Introduction" sheetId="2" r:id="rId2"/>
    <sheet name="3.Inputs" sheetId="3" r:id="rId3"/>
    <sheet name="4.Executive Summary" sheetId="4" r:id="rId4"/>
    <sheet name="5.Projected Savings" sheetId="5" r:id="rId5"/>
    <sheet name="6. Assumptions &amp; Sources" sheetId="6" r:id="rId6"/>
  </sheets>
  <externalReferences>
    <externalReference r:id="rId9"/>
  </externalReferences>
  <definedNames>
    <definedName name="annual_loanpay">'3.Inputs'!#REF!</definedName>
    <definedName name="annual_loanpay30">'5.Projected Savings'!$AF$75</definedName>
    <definedName name="assump_1">'6. Assumptions &amp; Sources'!$C$9</definedName>
    <definedName name="assump_10">'6. Assumptions &amp; Sources'!$C$52</definedName>
    <definedName name="assump_11">'6. Assumptions &amp; Sources'!$C$55</definedName>
    <definedName name="assump_12">'6. Assumptions &amp; Sources'!$C$56</definedName>
    <definedName name="assump_2">'6. Assumptions &amp; Sources'!$C$18</definedName>
    <definedName name="assump_3">'6. Assumptions &amp; Sources'!$C$28</definedName>
    <definedName name="assump_4">'6. Assumptions &amp; Sources'!$C$35</definedName>
    <definedName name="assump_5">'6. Assumptions &amp; Sources'!$C$38</definedName>
    <definedName name="assump_6">'6. Assumptions &amp; Sources'!$C$41</definedName>
    <definedName name="assump_7">'6. Assumptions &amp; Sources'!$C$43</definedName>
    <definedName name="assump_8">'6. Assumptions &amp; Sources'!$C$47</definedName>
    <definedName name="assump_9">'6. Assumptions &amp; Sources'!$C$49:$C$51</definedName>
    <definedName name="Cap_factor">'3.Inputs'!$J$14</definedName>
    <definedName name="Cash_Outflow">'[1]5.Projected Savings'!$I$33</definedName>
    <definedName name="CO2_Per_Sheet_Not_Recycled">'[1]6.Assumptions &amp; References'!$D$28</definedName>
    <definedName name="CO2_reduct_Y1">'[1]5.Projected Savings'!$J$65</definedName>
    <definedName name="CO2_reduct_Y2">'[1]5.Projected Savings'!$K$65</definedName>
    <definedName name="CO2_reduct_Y3">'[1]5.Projected Savings'!$L$65</definedName>
    <definedName name="CO2_reduct_Y4">'[1]5.Projected Savings'!$M$65</definedName>
    <definedName name="CO2_reduct_Y5">'[1]5.Projected Savings'!$N$65</definedName>
    <definedName name="Cost_per_watt">'3.Inputs'!$J$21</definedName>
    <definedName name="Cum_CO2_reduct_Y1">'[1]5.Projected Savings'!$J$66</definedName>
    <definedName name="Cum_CO2_reduct_Y2">'[1]5.Projected Savings'!$K$66</definedName>
    <definedName name="Cum_CO2_reduct_Y3">'[1]5.Projected Savings'!$L$66</definedName>
    <definedName name="Cum_CO2_reduct_Y4">'[1]5.Projected Savings'!$M$66</definedName>
    <definedName name="Cum_CO2_reduct_Y5">'[1]5.Projected Savings'!$N$66</definedName>
    <definedName name="Default_cost_per_sheet">'[1]6.Assumptions &amp; References'!$D$12</definedName>
    <definedName name="disc_rate">'3.Inputs'!$J$29</definedName>
    <definedName name="downpay">'3.Inputs'!$J$31</definedName>
    <definedName name="Effect_doublesided_percent">'[1]6.Assumptions &amp; References'!$D$24</definedName>
    <definedName name="insurance">'3.Inputs'!$J$23</definedName>
    <definedName name="int_rate">'3.Inputs'!$J$30</definedName>
    <definedName name="invertercost">'3.Inputs'!$J$24</definedName>
    <definedName name="inverterlife">'3.Inputs'!$J$15</definedName>
    <definedName name="loanterm1">'3.Inputs'!$J$32</definedName>
    <definedName name="loanterm2">'5.Projected Savings'!$AF$74</definedName>
    <definedName name="no_of_pages">'[1]3.Input Page'!$G$13</definedName>
    <definedName name="no_of_pages_Y1">'[1]3.Input Page'!$H$13</definedName>
    <definedName name="no_of_pages_Y2">'[1]3.Input Page'!$I$13</definedName>
    <definedName name="no_of_pages_Y3">'[1]3.Input Page'!$J$13</definedName>
    <definedName name="no_of_pages_Y4">'[1]3.Input Page'!$K$13</definedName>
    <definedName name="no_of_pages_Y5">'[1]3.Input Page'!$L$13</definedName>
    <definedName name="other_mancost">'3.Inputs'!$J$26</definedName>
    <definedName name="other_opcost">'3.Inputs'!$J$25</definedName>
    <definedName name="Prcnt_doublesided">'[1]3.Input Page'!$G$14</definedName>
    <definedName name="Prcnt_doublesided_Y1">'[1]3.Input Page'!$H$14</definedName>
    <definedName name="Prcnt_doublesided_Y2">'[1]3.Input Page'!$I$14</definedName>
    <definedName name="Prcnt_doublesided_Y3">'[1]3.Input Page'!$J$14</definedName>
    <definedName name="Prcnt_doublesided_Y4">'[1]3.Input Page'!$K$14</definedName>
    <definedName name="Prcnt_doublesided_Y5">'[1]3.Input Page'!$L$14</definedName>
    <definedName name="_xlnm.Print_Area" localSheetId="0">'1.Home'!$C$3:$K$50</definedName>
    <definedName name="_xlnm.Print_Area" localSheetId="1">'2.Introduction'!$C$3:$L$74</definedName>
    <definedName name="_xlnm.Print_Area" localSheetId="2">'3.Inputs'!$C$3:$J$32</definedName>
    <definedName name="_xlnm.Print_Area" localSheetId="3">'4.Executive Summary'!$C$3:$L$56</definedName>
    <definedName name="_xlnm.Print_Area" localSheetId="4">'5.Projected Savings'!$C$3:$AH$59</definedName>
    <definedName name="_xlnm.Print_Area" localSheetId="5">'6. Assumptions &amp; Sources'!$C$3:$O$58</definedName>
    <definedName name="PV_degr">'3.Inputs'!$J$17</definedName>
    <definedName name="PVlife">'3.Inputs'!$J$16</definedName>
    <definedName name="PVsize">'3.Inputs'!$J$12</definedName>
    <definedName name="rated_energyout">'3.Inputs'!$J$18</definedName>
    <definedName name="Sunhours">'3.Inputs'!$J$13</definedName>
    <definedName name="Total_installed_cost">'3.Inputs'!$J$22</definedName>
    <definedName name="Total_Sheets_used">'[1]5.Projected Savings'!$I$24</definedName>
    <definedName name="Total_sheets_used_Y1">'[1]5.Projected Savings'!$J$24</definedName>
    <definedName name="Total_sheets_used_Y2">'[1]5.Projected Savings'!$K$24</definedName>
    <definedName name="Total_sheets_used_Y3">'[1]5.Projected Savings'!$L$24</definedName>
    <definedName name="Total_sheets_used_Y4">'[1]5.Projected Savings'!$M$24</definedName>
    <definedName name="Total_sheets_used_Y5">'[1]5.Projected Savings'!$N$24</definedName>
  </definedNames>
  <calcPr fullCalcOnLoad="1"/>
</workbook>
</file>

<file path=xl/sharedStrings.xml><?xml version="1.0" encoding="utf-8"?>
<sst xmlns="http://schemas.openxmlformats.org/spreadsheetml/2006/main" count="211" uniqueCount="152">
  <si>
    <t>Last modified at source:</t>
  </si>
  <si>
    <t xml:space="preserve">Disclaimer:  </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</si>
  <si>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</si>
  <si>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review disclaimer on the home tab</t>
  </si>
  <si>
    <t>Legend</t>
  </si>
  <si>
    <t>Headings</t>
  </si>
  <si>
    <t>Input Cells</t>
  </si>
  <si>
    <t>Summary Charts</t>
  </si>
  <si>
    <t>Assumptions &amp; References</t>
  </si>
  <si>
    <t>Assumptions &amp; Sources</t>
  </si>
  <si>
    <t>Variable</t>
  </si>
  <si>
    <t>Value</t>
  </si>
  <si>
    <t>System Specifications</t>
  </si>
  <si>
    <t>Inverter replacement period (years)</t>
  </si>
  <si>
    <t>PV System Warranty</t>
  </si>
  <si>
    <t>Solar PV system degradation rate per year</t>
  </si>
  <si>
    <t>Capacity Factor (based on location - default is Kingston, ON)</t>
  </si>
  <si>
    <t>Cost per Watt of System installed ($)</t>
  </si>
  <si>
    <t>Total installed cost</t>
  </si>
  <si>
    <t>Insurance (default is 1% of installed cost)</t>
  </si>
  <si>
    <t>Inverter cost (default is 9% of installed cost)</t>
  </si>
  <si>
    <t>Year</t>
  </si>
  <si>
    <t>Finance Cost</t>
  </si>
  <si>
    <t>Average Annual Sun hours per day (based on location)</t>
  </si>
  <si>
    <t>Other Annual Operation Cost</t>
  </si>
  <si>
    <t>Other Annual Maintenance Cost</t>
  </si>
  <si>
    <t>"NPV" Energy</t>
  </si>
  <si>
    <t>Symbol/ Calculation</t>
  </si>
  <si>
    <t>A</t>
  </si>
  <si>
    <t>B</t>
  </si>
  <si>
    <t>C=B/24</t>
  </si>
  <si>
    <t>D</t>
  </si>
  <si>
    <t>E</t>
  </si>
  <si>
    <t>F</t>
  </si>
  <si>
    <t>G=C*365*24*A</t>
  </si>
  <si>
    <t>H</t>
  </si>
  <si>
    <t>I=H*A*1000</t>
  </si>
  <si>
    <t>J=0.01*I</t>
  </si>
  <si>
    <t>K=0.09*I</t>
  </si>
  <si>
    <t>L</t>
  </si>
  <si>
    <t>M</t>
  </si>
  <si>
    <t>N</t>
  </si>
  <si>
    <t>O</t>
  </si>
  <si>
    <t>Q</t>
  </si>
  <si>
    <t>R</t>
  </si>
  <si>
    <t>Rated size of solar system (kW)</t>
  </si>
  <si>
    <t>Note</t>
  </si>
  <si>
    <t>Amount</t>
  </si>
  <si>
    <t>Description</t>
  </si>
  <si>
    <t>green</t>
  </si>
  <si>
    <t>orange</t>
  </si>
  <si>
    <t>Default Values</t>
  </si>
  <si>
    <t>purple</t>
  </si>
  <si>
    <t>blue</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</si>
  <si>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</si>
  <si>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</si>
  <si>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</si>
  <si>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</si>
  <si>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</si>
  <si>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</si>
  <si>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</si>
  <si>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</si>
  <si>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Continue with your analysis by proceeding to the Instructions.</t>
  </si>
  <si>
    <t>Simple Levelised Cost of Electricity (LCOE) for Solar Photovoltaic (PV) Power</t>
  </si>
  <si>
    <t>ECM032 - Solar PV LCOE</t>
  </si>
  <si>
    <t>Please review disclaimer on the Home tab</t>
  </si>
  <si>
    <t>Inputs</t>
  </si>
  <si>
    <t>Please review disclaimer on the Home tab.</t>
  </si>
  <si>
    <t>Projected Savings</t>
  </si>
  <si>
    <t>Financing</t>
  </si>
  <si>
    <t>Associated Costs</t>
  </si>
  <si>
    <t>Executive Summary</t>
  </si>
  <si>
    <t>Assumptions  &amp; References</t>
  </si>
  <si>
    <t>Total Annual Cost</t>
  </si>
  <si>
    <t>Annual Energy Output (KWh)</t>
  </si>
  <si>
    <t>Annual Present Value Cost</t>
  </si>
  <si>
    <t>Interest rate for loan</t>
  </si>
  <si>
    <t>Annual discount rate for present-value calculations</t>
  </si>
  <si>
    <t>5-Year Term</t>
  </si>
  <si>
    <t>10-Year Term</t>
  </si>
  <si>
    <t>15-Year Term</t>
  </si>
  <si>
    <t>20-Year Term</t>
  </si>
  <si>
    <t>25-Year Term</t>
  </si>
  <si>
    <t>30-Year Term</t>
  </si>
  <si>
    <t>35-Year Term</t>
  </si>
  <si>
    <t>40-Year Term</t>
  </si>
  <si>
    <t>Annual Maintenance Cost</t>
  </si>
  <si>
    <t>Custom loan term</t>
  </si>
  <si>
    <t xml:space="preserve">LCOE ($CAD/KWh): </t>
  </si>
  <si>
    <t>Loan term (Years):</t>
  </si>
  <si>
    <t>Total project cost over 40 years (PV):</t>
  </si>
  <si>
    <t>Total project cost over 40 years (current dollars):</t>
  </si>
  <si>
    <t>Percentage premium over lowest-cost scenario</t>
  </si>
  <si>
    <t>Percentage premium over lowest-cost PV scenario</t>
  </si>
  <si>
    <t>Loan term (Years) --&gt;</t>
  </si>
  <si>
    <t>Years</t>
  </si>
  <si>
    <t>Custom loan term cost</t>
  </si>
  <si>
    <t>Default 5-year increment terms:</t>
  </si>
  <si>
    <t>Lowest LCOE Case</t>
  </si>
  <si>
    <t>Your Custom Loan Term:</t>
  </si>
  <si>
    <t>Example</t>
  </si>
  <si>
    <t>Rated size of solar PV system (kW)</t>
  </si>
  <si>
    <t>This simplified table of input values represents a 'sample' PV installation. The size, performance, and details of your system may be quite different so be sure to carry our your own analysis later. This case is meant to serve simply as an illustration of the analysis.</t>
  </si>
  <si>
    <t>This total PV cost data is presented in chart-form as well, where the premium for each loan term is presented.</t>
  </si>
  <si>
    <t>Annual loan payment (principal and interest):</t>
  </si>
  <si>
    <t>assump_1</t>
  </si>
  <si>
    <t>assump_2</t>
  </si>
  <si>
    <t>assump_3</t>
  </si>
  <si>
    <t>assump_4</t>
  </si>
  <si>
    <t>assump_5</t>
  </si>
  <si>
    <t>assump_6</t>
  </si>
  <si>
    <t>assump_7</t>
  </si>
  <si>
    <t>assump_8</t>
  </si>
  <si>
    <t>assump_11</t>
  </si>
  <si>
    <t>assump_9</t>
  </si>
  <si>
    <t>assump_10</t>
  </si>
  <si>
    <t>Note that portions of this workbook may be password protected to prevent accidental edits. If you do need to modify the document, use the password "greenit".</t>
  </si>
  <si>
    <t>Down payment (initial capitol)</t>
  </si>
  <si>
    <t>Solar Photovoltaic Levelised Cost of Electricity</t>
  </si>
  <si>
    <t>A useful tool in comparing the true total cost to generating electricity from different sources, the levelised cost of electricity (LCOE) totals all of the costs to generate electricity by that method -- initial capital, maintenance and operating expenses, fuel, etc. -- and determines the lowest cost a unit of energy can be sold for while ensuring that source remains financially self-sustaining. This value is reported as "cost per unit of energy", such as $CAD/kWh, EUR/MWh, etc.</t>
  </si>
  <si>
    <t>In this analysis, you are prompted to enter some specific information about the solar photovoltaic (PV) installation you are investigating including the size of the system, some data related to an estimate of your potential generating capacity, and your expectations on warranty/replacement/maintenance costs associated with your system. Given the significant capital accompanying many of these large-scale projects, you are also prompted for the specifications of your financing for this project. Your interest rate is used in calculations of different loan periods to recommend a loan term to provide the lowest LCOE for your system.</t>
  </si>
  <si>
    <t>Annual Operating Cost</t>
  </si>
  <si>
    <t>A comprehensive paper has been written exploring the theory behind the LCOE as it relates to electricity generated through PV technologies. For a link to this complete report, please visit the Assumptions and Sources page by clicking here.</t>
  </si>
  <si>
    <r>
      <t xml:space="preserve">There is an </t>
    </r>
    <r>
      <rPr>
        <b/>
        <sz val="11"/>
        <color indexed="8"/>
        <rFont val="Calibri"/>
        <family val="2"/>
      </rPr>
      <t>expected degredation</t>
    </r>
    <r>
      <rPr>
        <sz val="11"/>
        <color indexed="8"/>
        <rFont val="Calibri"/>
        <family val="2"/>
      </rPr>
      <t xml:space="preserve"> of efficiency in PV systems in to normal operation. This value is typically between 0.2%/year and 1%/ year.</t>
    </r>
  </si>
  <si>
    <r>
      <t xml:space="preserve">This is the </t>
    </r>
    <r>
      <rPr>
        <b/>
        <sz val="11"/>
        <color indexed="8"/>
        <rFont val="Calibri"/>
        <family val="2"/>
      </rPr>
      <t>rated annual energy output without degradation</t>
    </r>
    <r>
      <rPr>
        <sz val="11"/>
        <color indexed="8"/>
        <rFont val="Calibri"/>
        <family val="2"/>
      </rPr>
      <t>.</t>
    </r>
  </si>
  <si>
    <r>
      <t>The '</t>
    </r>
    <r>
      <rPr>
        <b/>
        <sz val="11"/>
        <color indexed="8"/>
        <rFont val="Calibri"/>
        <family val="2"/>
      </rPr>
      <t>total installed cost'</t>
    </r>
    <r>
      <rPr>
        <sz val="11"/>
        <color indexed="8"/>
        <rFont val="Calibri"/>
        <family val="2"/>
      </rPr>
      <t xml:space="preserve"> includes all the costs required to design, buy and install the system, before considering financing. The '</t>
    </r>
    <r>
      <rPr>
        <b/>
        <sz val="11"/>
        <color indexed="8"/>
        <rFont val="Calibri"/>
        <family val="2"/>
      </rPr>
      <t xml:space="preserve">cost per watt' </t>
    </r>
    <r>
      <rPr>
        <sz val="11"/>
        <color indexed="8"/>
        <rFont val="Calibri"/>
        <family val="2"/>
      </rPr>
      <t>is simply the total installed cost divided by the rated system size. Some quotations may give both values, one or the other. Both are valid metrics that can be used to compare two quotes or systems.</t>
    </r>
  </si>
  <si>
    <t>Custom loan term (years)</t>
  </si>
  <si>
    <t>Cost per Watt of System installed ($/W)</t>
  </si>
  <si>
    <t>Assump_12</t>
  </si>
  <si>
    <t>(1) For Canadian installations use http://solarrooftops.ca/sun-hour-facts.php, and</t>
  </si>
  <si>
    <t>(2) for American installations use http://www.solarpanelsplus.com/solar-insolation-levels/.</t>
  </si>
  <si>
    <t>Note that data from these and similar sources is typically expressed as kWh/m2/day, which translates to the amount of energy striking panels at your location on the earth per day. It is also important to note that 'sun hours' do not equal 'sunlight hours'; solar panels will continue to generate electricity on a cloudy day for example, but the generated quantity is much lower than a sunny day. The value of 'sun hours' accounts for these values.</t>
  </si>
  <si>
    <t>https://www.nrel.gov/analysis/sam/</t>
  </si>
  <si>
    <r>
      <t xml:space="preserve">This calculator is based on a simple </t>
    </r>
    <r>
      <rPr>
        <b/>
        <sz val="11"/>
        <color indexed="8"/>
        <rFont val="Calibri"/>
        <family val="2"/>
      </rPr>
      <t>LCOE Calculation</t>
    </r>
    <r>
      <rPr>
        <sz val="11"/>
        <color indexed="8"/>
        <rFont val="Calibri"/>
        <family val="2"/>
      </rPr>
      <t xml:space="preserve">, the </t>
    </r>
    <r>
      <rPr>
        <b/>
        <sz val="11"/>
        <color indexed="8"/>
        <rFont val="Calibri"/>
        <family val="2"/>
      </rPr>
      <t>theory</t>
    </r>
    <r>
      <rPr>
        <sz val="11"/>
        <color indexed="8"/>
        <rFont val="Calibri"/>
        <family val="2"/>
      </rPr>
      <t xml:space="preserve"> of which is found in the following paper: K. Branker, M. J.M. Pathak, J. M. Pearce, “A Review of Solar Photovoltaic Levelized Cost of Electricity”, Renewable &amp; Sustainable Energy Reviews 15, pp.4470-4482 (2011). 
</t>
    </r>
  </si>
  <si>
    <t xml:space="preserve">DOI: http://dx.doi.org/10.1016/j.rser.2011.07.104
</t>
  </si>
  <si>
    <t xml:space="preserve">Please consult the paper for the assumptions within.
A more comprehensive method can be considered using the Solar Advisor Model (SAM) from NREL; </t>
  </si>
  <si>
    <t>Open-access link: http://hdl.handle.net/1974/6879</t>
  </si>
  <si>
    <r>
      <t xml:space="preserve">Energy Output (Rated) kWh per year - </t>
    </r>
    <r>
      <rPr>
        <i/>
        <sz val="11"/>
        <color indexed="8"/>
        <rFont val="Calibri"/>
        <family val="2"/>
      </rPr>
      <t>Calculated automatically</t>
    </r>
  </si>
  <si>
    <r>
      <t xml:space="preserve">Capacity Factor (based on location - default is Kingston, ON) - </t>
    </r>
    <r>
      <rPr>
        <i/>
        <sz val="11"/>
        <color indexed="8"/>
        <rFont val="Calibri"/>
        <family val="2"/>
      </rPr>
      <t>Calculated automatically</t>
    </r>
  </si>
  <si>
    <r>
      <t xml:space="preserve">Insurance (default is 1% of installed cost) - </t>
    </r>
    <r>
      <rPr>
        <i/>
        <sz val="11"/>
        <color indexed="8"/>
        <rFont val="Calibri"/>
        <family val="2"/>
      </rPr>
      <t>See Assumptions &amp; References for input</t>
    </r>
  </si>
  <si>
    <r>
      <t xml:space="preserve">Inverter cost (default is 9% of installed cost) - </t>
    </r>
    <r>
      <rPr>
        <i/>
        <sz val="11"/>
        <color indexed="8"/>
        <rFont val="Calibri"/>
        <family val="2"/>
      </rPr>
      <t>See Assumptions &amp; References for input</t>
    </r>
  </si>
  <si>
    <r>
      <t xml:space="preserve">The average number of 'sun hours' your location receives annually is used to calculate the </t>
    </r>
    <r>
      <rPr>
        <b/>
        <sz val="11"/>
        <color indexed="8"/>
        <rFont val="Calibri"/>
        <family val="2"/>
      </rPr>
      <t>energy output of the rated solar PV system</t>
    </r>
    <r>
      <rPr>
        <sz val="11"/>
        <color theme="1"/>
        <rFont val="Calibri"/>
        <family val="2"/>
      </rPr>
      <t xml:space="preserve">. This value can be determined from one of the following sources;   </t>
    </r>
  </si>
  <si>
    <r>
      <t xml:space="preserve">The </t>
    </r>
    <r>
      <rPr>
        <b/>
        <sz val="11"/>
        <color indexed="8"/>
        <rFont val="Calibri"/>
        <family val="2"/>
      </rPr>
      <t>PV system warranty</t>
    </r>
    <r>
      <rPr>
        <sz val="11"/>
        <color theme="1"/>
        <rFont val="Calibri"/>
        <family val="2"/>
      </rPr>
      <t xml:space="preserve"> is considered the PV "life" for the purpose of the LCOE Calculation. This value is not used in calculation, but the user should be mindful when estimating long-term performance.</t>
    </r>
  </si>
  <si>
    <r>
      <t xml:space="preserve">The </t>
    </r>
    <r>
      <rPr>
        <b/>
        <sz val="11"/>
        <color indexed="8"/>
        <rFont val="Calibri"/>
        <family val="2"/>
      </rPr>
      <t>insurance cost</t>
    </r>
    <r>
      <rPr>
        <sz val="11"/>
        <color indexed="8"/>
        <rFont val="Calibri"/>
        <family val="2"/>
      </rPr>
      <t xml:space="preserve"> is based on market research with a default value of 1% is included. This value should be updated based on the details of your particular installation.</t>
    </r>
  </si>
  <si>
    <t>The inverter cost is based on market research with a defauly value of 9% included. This value should be verified for your particular installation. Invertor cost is relatively consistent but different features may be required based on your installation (i.e. climate-appropriate provisions).</t>
  </si>
  <si>
    <r>
      <t xml:space="preserve">The concept of </t>
    </r>
    <r>
      <rPr>
        <b/>
        <sz val="11"/>
        <color indexed="8"/>
        <rFont val="Calibri"/>
        <family val="2"/>
      </rPr>
      <t>discount rate</t>
    </r>
    <r>
      <rPr>
        <sz val="11"/>
        <color theme="1"/>
        <rFont val="Calibri"/>
        <family val="2"/>
      </rPr>
      <t xml:space="preserve"> puts a value on time preference on money, which varies by circumstance, location, and the time period considered. Values used in the literature range from 0 to 10 %. </t>
    </r>
  </si>
  <si>
    <r>
      <t xml:space="preserve">The </t>
    </r>
    <r>
      <rPr>
        <b/>
        <sz val="11"/>
        <color indexed="8"/>
        <rFont val="Calibri"/>
        <family val="2"/>
      </rPr>
      <t>annual loan payment</t>
    </r>
    <r>
      <rPr>
        <sz val="11"/>
        <color theme="1"/>
        <rFont val="Calibri"/>
        <family val="2"/>
      </rPr>
      <t xml:space="preserve"> considers the loan term, interest rate, principal amount and down payment as specified. The excel formula PMT() is used assuming constant interest rate and constant payment amounts over the loan term.</t>
    </r>
  </si>
  <si>
    <r>
      <t>Calculations are completed over a 40-year term, so the only two stipulations on</t>
    </r>
    <r>
      <rPr>
        <b/>
        <sz val="11"/>
        <color indexed="8"/>
        <rFont val="Calibri"/>
        <family val="2"/>
      </rPr>
      <t xml:space="preserve"> loan term duration </t>
    </r>
    <r>
      <rPr>
        <sz val="11"/>
        <color indexed="8"/>
        <rFont val="Calibri"/>
        <family val="2"/>
      </rPr>
      <t>are: (1) the loan term specified must be a whole-number of years that is (2) less than 40 years. The user may specify any value within these limitations.</t>
    </r>
  </si>
  <si>
    <t xml:space="preserve">Based on these inputs, calculations for LCOE are completed for the user-specified loan term (13 years), as well as the default loan terms of 5, 10, 15, 20, 25, 30, 35 and 40 years. The LCOE of these nine options is then plotted, and the 40 year term emerges as the best LCOE.  </t>
  </si>
  <si>
    <t>Also calculated is the total present value cost of the project, including the initial capital and operating expenses for a 40 year period. The 40-year option again emerges as the lowest total PV cost option.</t>
  </si>
  <si>
    <t>All three calculations support the 40-year loan term as the lowest LCOE option. The premiums demanded by the other terms are also laid out clearly such that an informed decision can be made.</t>
  </si>
  <si>
    <t>Down payment (initial capital)</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</si>
</sst>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quot;$&quot;#,##0"/>
    <numFmt numFmtId="174" formatCode="[$-1009]mmmm\-dd\-yy"/>
    <numFmt numFmtId="175" formatCode="[$-409]h:mm:ss\ AM/PM"/>
    <numFmt numFmtId="176" formatCode="&quot;$&quot;#,##0.000"/>
    <numFmt numFmtId="177" formatCode="0.00000"/>
    <numFmt numFmtId="178" formatCode="0.0"/>
    <numFmt numFmtId="179" formatCode="0.00000000"/>
    <numFmt numFmtId="180" formatCode="0.0000000"/>
    <numFmt numFmtId="181" formatCode="0.000000"/>
    <numFmt numFmtId="182" formatCode="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d\-mmm\-yy;@"/>
    <numFmt numFmtId="191" formatCode="[$-409]d\-mmm\-yyyy;@"/>
    <numFmt numFmtId="192" formatCode="&quot;$&quot;#,##0.00"/>
    <numFmt numFmtId="193" formatCode="_(&quot;$&quot;* #,##0_);_(&quot;$&quot;* \(#,##0\);_(&quot;$&quot;* &quot;-&quot;??_);_(@_)"/>
    <numFmt numFmtId="194" formatCode="&quot;$&quot;#,##0.0000"/>
    <numFmt numFmtId="195" formatCode="_(&quot;$&quot;* #,##0.000_);_(&quot;$&quot;* \(#,##0.000\);_(&quot;$&quot;* &quot;-&quot;??_);_(@_)"/>
    <numFmt numFmtId="196" formatCode="_(&quot;$&quot;* #,##0.0_);_(&quot;$&quot;* \(#,##0.0\);_(&quot;$&quot;* &quot;-&quot;??_);_(@_)"/>
  </numFmts>
  <fonts count="71">
    <font>
      <sz val="11"/>
      <color theme="1"/>
      <name val="Calibri"/>
      <family val="2"/>
    </font>
    <font>
      <sz val="11"/>
      <color indexed="8"/>
      <name val="Calibri"/>
      <family val="2"/>
    </font>
    <font>
      <b/>
      <sz val="11"/>
      <color indexed="8"/>
      <name val="Calibri"/>
      <family val="2"/>
    </font>
    <font>
      <i/>
      <sz val="10"/>
      <color indexed="8"/>
      <name val="Calibri"/>
      <family val="2"/>
    </font>
    <font>
      <sz val="12"/>
      <color indexed="8"/>
      <name val="Calibri"/>
      <family val="2"/>
    </font>
    <font>
      <sz val="24"/>
      <color indexed="8"/>
      <name val="Calibri"/>
      <family val="2"/>
    </font>
    <font>
      <u val="single"/>
      <sz val="11"/>
      <color indexed="8"/>
      <name val="Calibri"/>
      <family val="2"/>
    </font>
    <font>
      <b/>
      <sz val="15"/>
      <color indexed="8"/>
      <name val="Calibri"/>
      <family val="2"/>
    </font>
    <font>
      <sz val="11"/>
      <name val="Calibri"/>
      <family val="2"/>
    </font>
    <font>
      <i/>
      <sz val="11"/>
      <color indexed="8"/>
      <name val="Calibri"/>
      <family val="2"/>
    </font>
    <font>
      <i/>
      <sz val="12"/>
      <color indexed="8"/>
      <name val="Calibri"/>
      <family val="2"/>
    </font>
    <font>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4"/>
      <name val="Calibri"/>
      <family val="2"/>
    </font>
    <font>
      <b/>
      <sz val="11"/>
      <name val="Calibri"/>
      <family val="2"/>
    </font>
    <font>
      <sz val="14"/>
      <color indexed="8"/>
      <name val="Calibri"/>
      <family val="2"/>
    </font>
    <font>
      <b/>
      <sz val="14"/>
      <color indexed="8"/>
      <name val="Calibri"/>
      <family val="2"/>
    </font>
    <font>
      <sz val="18"/>
      <color indexed="8"/>
      <name val="Calibri"/>
      <family val="2"/>
    </font>
    <font>
      <sz val="16"/>
      <color indexed="8"/>
      <name val="Calibri"/>
      <family val="2"/>
    </font>
    <font>
      <b/>
      <sz val="18"/>
      <name val="Calibri"/>
      <family val="2"/>
    </font>
    <font>
      <b/>
      <sz val="16"/>
      <name val="Calibri"/>
      <family val="2"/>
    </font>
    <font>
      <u val="single"/>
      <sz val="10"/>
      <color indexed="12"/>
      <name val="Calibri"/>
      <family val="2"/>
    </font>
    <font>
      <sz val="16"/>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4"/>
      <color theme="1"/>
      <name val="Calibri"/>
      <family val="2"/>
    </font>
    <font>
      <b/>
      <sz val="14"/>
      <color theme="1"/>
      <name val="Calibri"/>
      <family val="2"/>
    </font>
    <font>
      <sz val="16"/>
      <color theme="1"/>
      <name val="Calibri"/>
      <family val="2"/>
    </font>
    <font>
      <sz val="18"/>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medium"/>
      <top style="medium"/>
      <bottom style="medium"/>
    </border>
    <border>
      <left/>
      <right style="medium"/>
      <top/>
      <bottom style="thin"/>
    </border>
    <border>
      <left/>
      <right style="medium"/>
      <top style="thin"/>
      <bottom style="thin"/>
    </border>
    <border>
      <left/>
      <right style="medium"/>
      <top style="thin"/>
      <bottom style="medium"/>
    </border>
    <border>
      <left style="medium"/>
      <right/>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thin"/>
      <right style="thin"/>
      <top style="thin"/>
      <bottom style="medium"/>
    </border>
    <border>
      <left style="thin"/>
      <right style="thin"/>
      <top style="medium"/>
      <bottom style="medium"/>
    </border>
    <border>
      <left style="thin"/>
      <right/>
      <top style="medium"/>
      <bottom style="thin"/>
    </border>
    <border>
      <left/>
      <right>
        <color indexed="63"/>
      </right>
      <top style="medium"/>
      <bottom style="thin"/>
    </border>
    <border>
      <left/>
      <right style="medium"/>
      <top style="medium"/>
      <bottom style="thin"/>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medium"/>
      <top style="medium"/>
      <bottom>
        <color indexed="63"/>
      </bottom>
    </border>
    <border>
      <left/>
      <right style="thin"/>
      <top style="medium"/>
      <bottom/>
    </border>
    <border>
      <left style="thin"/>
      <right style="thin"/>
      <top style="medium"/>
      <bottom>
        <color indexed="63"/>
      </bottom>
    </border>
    <border>
      <left style="thin"/>
      <right style="medium"/>
      <top style="medium"/>
      <bottom>
        <color indexed="63"/>
      </bottom>
    </border>
    <border>
      <left/>
      <right style="thin"/>
      <top style="thin"/>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medium"/>
      <right/>
      <top/>
      <bottom style="thin"/>
    </border>
    <border>
      <left/>
      <right style="thin"/>
      <top>
        <color indexed="63"/>
      </top>
      <bottom style="thin"/>
    </border>
    <border>
      <left style="thin"/>
      <right/>
      <top>
        <color indexed="63"/>
      </top>
      <bottom style="thin"/>
    </border>
    <border>
      <left style="medium"/>
      <right style="thin"/>
      <top/>
      <bottom style="thin"/>
    </border>
    <border>
      <left style="thin"/>
      <right style="thin"/>
      <top>
        <color indexed="63"/>
      </top>
      <bottom style="thin"/>
    </border>
    <border>
      <left style="thin"/>
      <right style="medium"/>
      <top>
        <color indexed="63"/>
      </top>
      <bottom style="thin"/>
    </border>
    <border>
      <left style="thin"/>
      <right/>
      <top style="thin"/>
      <bottom style="medium"/>
    </border>
    <border>
      <left/>
      <right/>
      <top style="thin"/>
      <bottom style="thin"/>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right/>
      <top style="medium"/>
      <bottom style="medium"/>
    </border>
    <border>
      <left style="medium"/>
      <right/>
      <top style="medium"/>
      <bottom style="thin"/>
    </border>
    <border>
      <left style="medium"/>
      <right style="medium"/>
      <top>
        <color indexed="63"/>
      </top>
      <bottom style="medium"/>
    </border>
    <border>
      <left style="medium"/>
      <right style="thin"/>
      <top/>
      <bottom/>
    </border>
    <border>
      <left style="medium"/>
      <right>
        <color indexed="63"/>
      </right>
      <top style="thin"/>
      <bottom>
        <color indexed="63"/>
      </bottom>
    </border>
    <border>
      <left>
        <color indexed="63"/>
      </left>
      <right>
        <color indexed="63"/>
      </right>
      <top style="thin"/>
      <bottom>
        <color indexed="63"/>
      </bottom>
    </border>
    <border>
      <left/>
      <right style="medium"/>
      <top style="thin"/>
      <bottom/>
    </border>
    <border>
      <left/>
      <right/>
      <top/>
      <bottom style="thin"/>
    </border>
    <border>
      <left style="thin"/>
      <right>
        <color indexed="63"/>
      </right>
      <top style="thin"/>
      <bottom>
        <color indexed="63"/>
      </bottom>
    </border>
    <border>
      <left style="thin"/>
      <right style="thin"/>
      <top>
        <color indexed="63"/>
      </top>
      <bottom>
        <color indexed="63"/>
      </bottom>
    </border>
    <border>
      <left style="thin"/>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2" fillId="0" borderId="0">
      <alignment vertical="center"/>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78">
    <xf numFmtId="0" fontId="0" fillId="0" borderId="0" xfId="0" applyFont="1" applyAlignment="1">
      <alignment/>
    </xf>
    <xf numFmtId="0" fontId="0" fillId="33" borderId="0" xfId="0" applyFill="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65" fillId="0" borderId="0" xfId="0" applyFont="1" applyFill="1" applyBorder="1" applyAlignment="1" applyProtection="1">
      <alignment horizontal="right"/>
      <protection/>
    </xf>
    <xf numFmtId="14" fontId="65" fillId="0" borderId="0" xfId="0" applyNumberFormat="1" applyFont="1" applyFill="1" applyBorder="1" applyAlignment="1" applyProtection="1">
      <alignment horizontal="left"/>
      <protection/>
    </xf>
    <xf numFmtId="0" fontId="65" fillId="0" borderId="0" xfId="0" applyFont="1" applyFill="1" applyBorder="1" applyAlignment="1" applyProtection="1">
      <alignment horizontal="left"/>
      <protection/>
    </xf>
    <xf numFmtId="0" fontId="0" fillId="0" borderId="0" xfId="0" applyAlignment="1" applyProtection="1">
      <alignment/>
      <protection/>
    </xf>
    <xf numFmtId="0" fontId="56" fillId="0" borderId="0" xfId="6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32" fillId="33" borderId="0" xfId="65" applyFont="1" applyFill="1" applyProtection="1">
      <alignment vertical="center"/>
      <protection/>
    </xf>
    <xf numFmtId="0" fontId="32" fillId="0" borderId="10" xfId="65" applyFont="1" applyFill="1" applyBorder="1" applyProtection="1">
      <alignment vertical="center"/>
      <protection/>
    </xf>
    <xf numFmtId="0" fontId="32" fillId="0" borderId="11" xfId="65" applyFont="1" applyFill="1" applyBorder="1" applyProtection="1">
      <alignment vertical="center"/>
      <protection/>
    </xf>
    <xf numFmtId="0" fontId="32" fillId="0" borderId="12" xfId="65" applyFont="1" applyFill="1" applyBorder="1" applyProtection="1">
      <alignment vertical="center"/>
      <protection/>
    </xf>
    <xf numFmtId="0" fontId="32" fillId="0" borderId="13" xfId="65" applyFont="1" applyFill="1" applyBorder="1" applyProtection="1">
      <alignment vertical="center"/>
      <protection/>
    </xf>
    <xf numFmtId="14" fontId="32" fillId="0" borderId="18" xfId="65" applyNumberFormat="1" applyFont="1" applyFill="1" applyBorder="1" applyAlignment="1" applyProtection="1">
      <alignment horizontal="left" vertical="center"/>
      <protection/>
    </xf>
    <xf numFmtId="0" fontId="32" fillId="0" borderId="14" xfId="65" applyFont="1" applyFill="1" applyBorder="1" applyProtection="1">
      <alignment vertical="center"/>
      <protection/>
    </xf>
    <xf numFmtId="0" fontId="32" fillId="0" borderId="0" xfId="65" applyFont="1" applyFill="1" applyBorder="1" applyProtection="1">
      <alignment vertical="center"/>
      <protection/>
    </xf>
    <xf numFmtId="0" fontId="32" fillId="33" borderId="0" xfId="65" applyFont="1" applyFill="1" applyAlignment="1" applyProtection="1">
      <alignment horizontal="left" vertical="center"/>
      <protection/>
    </xf>
    <xf numFmtId="0" fontId="33" fillId="0" borderId="13" xfId="65" applyFont="1" applyFill="1" applyBorder="1" applyAlignment="1" applyProtection="1">
      <alignment horizontal="center" vertical="center"/>
      <protection/>
    </xf>
    <xf numFmtId="0" fontId="33" fillId="0" borderId="14" xfId="65" applyFont="1" applyFill="1" applyBorder="1" applyAlignment="1" applyProtection="1">
      <alignment horizontal="center" vertical="center"/>
      <protection/>
    </xf>
    <xf numFmtId="0" fontId="33" fillId="33" borderId="0" xfId="65" applyFont="1" applyFill="1" applyAlignment="1" applyProtection="1">
      <alignment horizontal="center" vertical="center"/>
      <protection/>
    </xf>
    <xf numFmtId="0" fontId="32" fillId="0" borderId="16" xfId="65" applyFont="1" applyFill="1" applyBorder="1" applyProtection="1">
      <alignment vertical="center"/>
      <protection/>
    </xf>
    <xf numFmtId="0" fontId="32" fillId="0" borderId="17" xfId="65" applyFont="1" applyFill="1" applyBorder="1" applyProtection="1">
      <alignment vertical="center"/>
      <protection/>
    </xf>
    <xf numFmtId="0" fontId="32" fillId="33" borderId="0" xfId="65" applyFont="1" applyFill="1" applyAlignment="1" applyProtection="1">
      <alignment horizontal="center" vertical="center"/>
      <protection/>
    </xf>
    <xf numFmtId="0" fontId="32" fillId="0" borderId="11" xfId="65" applyFont="1" applyFill="1" applyBorder="1" applyAlignment="1" applyProtection="1">
      <alignment horizontal="left" vertical="center"/>
      <protection/>
    </xf>
    <xf numFmtId="0" fontId="32" fillId="0" borderId="11" xfId="65" applyFont="1" applyFill="1" applyBorder="1" applyAlignment="1" applyProtection="1">
      <alignment horizontal="center" vertical="center"/>
      <protection/>
    </xf>
    <xf numFmtId="0" fontId="32" fillId="0" borderId="0" xfId="65" applyFont="1" applyFill="1" applyBorder="1" applyAlignment="1" applyProtection="1">
      <alignment horizontal="left" vertical="center"/>
      <protection/>
    </xf>
    <xf numFmtId="0" fontId="32" fillId="0" borderId="0" xfId="65" applyFont="1" applyFill="1" applyBorder="1" applyAlignment="1" applyProtection="1">
      <alignment horizontal="center" vertical="center"/>
      <protection/>
    </xf>
    <xf numFmtId="0" fontId="32" fillId="0" borderId="13" xfId="65" applyFont="1" applyBorder="1" applyProtection="1">
      <alignment vertical="center"/>
      <protection/>
    </xf>
    <xf numFmtId="0" fontId="32" fillId="0" borderId="14" xfId="65" applyFont="1" applyBorder="1" applyProtection="1">
      <alignment vertical="center"/>
      <protection/>
    </xf>
    <xf numFmtId="0" fontId="32" fillId="0" borderId="0" xfId="65" applyFont="1" applyBorder="1" applyProtection="1">
      <alignment vertical="center"/>
      <protection/>
    </xf>
    <xf numFmtId="0" fontId="32" fillId="0" borderId="15" xfId="65" applyFont="1" applyBorder="1" applyProtection="1">
      <alignment vertical="center"/>
      <protection/>
    </xf>
    <xf numFmtId="0" fontId="32" fillId="0" borderId="16" xfId="65" applyFont="1" applyBorder="1" applyProtection="1">
      <alignment vertical="center"/>
      <protection/>
    </xf>
    <xf numFmtId="0" fontId="32" fillId="0" borderId="17" xfId="65" applyFont="1" applyBorder="1" applyProtection="1">
      <alignment vertical="center"/>
      <protection/>
    </xf>
    <xf numFmtId="0" fontId="33" fillId="0" borderId="13" xfId="65" applyFont="1" applyFill="1" applyBorder="1" applyProtection="1">
      <alignment vertical="center"/>
      <protection/>
    </xf>
    <xf numFmtId="0" fontId="33" fillId="33" borderId="0" xfId="65" applyFont="1" applyFill="1" applyProtection="1">
      <alignment vertical="center"/>
      <protection/>
    </xf>
    <xf numFmtId="0" fontId="32" fillId="0" borderId="16" xfId="65" applyFont="1" applyFill="1" applyBorder="1" applyAlignment="1" applyProtection="1">
      <alignment horizontal="center" vertical="center"/>
      <protection/>
    </xf>
    <xf numFmtId="0" fontId="32" fillId="33" borderId="0" xfId="65" applyFont="1" applyFill="1" applyBorder="1" applyProtection="1">
      <alignment vertical="center"/>
      <protection/>
    </xf>
    <xf numFmtId="0" fontId="32" fillId="0" borderId="0" xfId="65" applyFont="1" applyFill="1" applyProtection="1">
      <alignment vertical="center"/>
      <protection/>
    </xf>
    <xf numFmtId="0" fontId="32" fillId="33" borderId="13" xfId="65" applyFont="1" applyFill="1" applyBorder="1" applyProtection="1">
      <alignment vertical="center"/>
      <protection/>
    </xf>
    <xf numFmtId="0" fontId="32" fillId="33" borderId="15" xfId="65" applyFont="1" applyFill="1" applyBorder="1" applyProtection="1">
      <alignment vertical="center"/>
      <protection/>
    </xf>
    <xf numFmtId="0" fontId="34" fillId="33" borderId="0" xfId="65" applyFont="1" applyFill="1" applyProtection="1">
      <alignment vertical="center"/>
      <protection/>
    </xf>
    <xf numFmtId="0" fontId="8" fillId="0" borderId="13" xfId="65" applyFont="1" applyFill="1" applyBorder="1" applyAlignment="1" applyProtection="1">
      <alignment horizontal="left" vertical="center"/>
      <protection/>
    </xf>
    <xf numFmtId="0" fontId="8" fillId="0" borderId="14" xfId="65" applyFont="1" applyFill="1" applyBorder="1" applyAlignment="1" applyProtection="1">
      <alignment horizontal="left" vertical="center"/>
      <protection/>
    </xf>
    <xf numFmtId="0" fontId="8" fillId="33" borderId="0" xfId="65" applyFont="1" applyFill="1" applyAlignment="1" applyProtection="1">
      <alignment horizontal="left" vertical="center"/>
      <protection/>
    </xf>
    <xf numFmtId="14" fontId="32" fillId="0" borderId="19" xfId="65" applyNumberFormat="1" applyFont="1" applyFill="1" applyBorder="1" applyAlignment="1" applyProtection="1">
      <alignment horizontal="left" vertical="center"/>
      <protection/>
    </xf>
    <xf numFmtId="0" fontId="8" fillId="0" borderId="13" xfId="65" applyFont="1" applyFill="1" applyBorder="1" applyProtection="1">
      <alignment vertical="center"/>
      <protection/>
    </xf>
    <xf numFmtId="0" fontId="8" fillId="33" borderId="0" xfId="65" applyFont="1" applyFill="1" applyProtection="1">
      <alignment vertical="center"/>
      <protection/>
    </xf>
    <xf numFmtId="0" fontId="32" fillId="0" borderId="0" xfId="65" applyFont="1" applyBorder="1" applyAlignment="1" applyProtection="1">
      <alignment horizontal="left" vertical="center" wrapText="1"/>
      <protection/>
    </xf>
    <xf numFmtId="170" fontId="32" fillId="0" borderId="0" xfId="65" applyNumberFormat="1" applyFont="1" applyFill="1" applyProtection="1">
      <alignment vertical="center"/>
      <protection/>
    </xf>
    <xf numFmtId="0" fontId="32" fillId="0" borderId="20" xfId="65" applyFont="1" applyFill="1" applyBorder="1" applyProtection="1">
      <alignment vertical="center"/>
      <protection/>
    </xf>
    <xf numFmtId="0" fontId="32" fillId="0" borderId="21" xfId="65" applyFont="1" applyFill="1" applyBorder="1" applyProtection="1">
      <alignment vertical="center"/>
      <protection/>
    </xf>
    <xf numFmtId="0" fontId="32" fillId="0" borderId="22" xfId="65" applyFont="1" applyFill="1" applyBorder="1" applyProtection="1">
      <alignment vertical="center"/>
      <protection/>
    </xf>
    <xf numFmtId="170" fontId="32" fillId="0" borderId="23" xfId="65" applyNumberFormat="1" applyFont="1" applyFill="1" applyBorder="1" applyProtection="1">
      <alignment vertical="center"/>
      <protection/>
    </xf>
    <xf numFmtId="0" fontId="32" fillId="0" borderId="24" xfId="65" applyFont="1" applyFill="1" applyBorder="1" applyProtection="1">
      <alignment vertical="center"/>
      <protection/>
    </xf>
    <xf numFmtId="170" fontId="32" fillId="0" borderId="25" xfId="65" applyNumberFormat="1" applyFont="1" applyFill="1" applyBorder="1" applyProtection="1">
      <alignment vertical="center"/>
      <protection/>
    </xf>
    <xf numFmtId="0" fontId="33" fillId="0" borderId="13" xfId="65" applyFont="1" applyFill="1" applyBorder="1" applyAlignment="1" applyProtection="1">
      <alignment vertical="center"/>
      <protection/>
    </xf>
    <xf numFmtId="0" fontId="33" fillId="33" borderId="0" xfId="65" applyFont="1" applyFill="1" applyAlignment="1" applyProtection="1">
      <alignment vertical="center"/>
      <protection/>
    </xf>
    <xf numFmtId="0" fontId="55" fillId="0" borderId="26" xfId="59" applyFill="1" applyBorder="1" applyAlignment="1" applyProtection="1">
      <alignment vertical="center"/>
      <protection/>
    </xf>
    <xf numFmtId="0" fontId="55" fillId="0" borderId="22" xfId="59" applyBorder="1" applyAlignment="1" applyProtection="1">
      <alignment horizontal="center"/>
      <protection/>
    </xf>
    <xf numFmtId="0" fontId="55" fillId="0" borderId="24" xfId="59" applyBorder="1" applyAlignment="1" applyProtection="1">
      <alignment horizontal="center"/>
      <protection/>
    </xf>
    <xf numFmtId="0" fontId="55" fillId="0" borderId="24" xfId="59" applyFill="1" applyBorder="1" applyAlignment="1" applyProtection="1">
      <alignment horizontal="center"/>
      <protection/>
    </xf>
    <xf numFmtId="0" fontId="32" fillId="0" borderId="19" xfId="65" applyFont="1" applyFill="1" applyBorder="1" applyAlignment="1" applyProtection="1">
      <alignment horizontal="center" vertical="center"/>
      <protection/>
    </xf>
    <xf numFmtId="0" fontId="33" fillId="0" borderId="26" xfId="65" applyFont="1" applyFill="1" applyBorder="1" applyAlignment="1" applyProtection="1">
      <alignment horizontal="center" vertical="center" wrapText="1"/>
      <protection/>
    </xf>
    <xf numFmtId="0" fontId="55" fillId="33" borderId="0" xfId="59" applyFill="1" applyAlignment="1" applyProtection="1">
      <alignment/>
      <protection/>
    </xf>
    <xf numFmtId="0" fontId="55" fillId="0" borderId="27" xfId="59" applyFill="1" applyBorder="1" applyAlignment="1" applyProtection="1">
      <alignment horizontal="center" vertical="center"/>
      <protection/>
    </xf>
    <xf numFmtId="0" fontId="0" fillId="0" borderId="28" xfId="0" applyBorder="1" applyAlignment="1" applyProtection="1">
      <alignment horizontal="center"/>
      <protection/>
    </xf>
    <xf numFmtId="14" fontId="0" fillId="0" borderId="18" xfId="0" applyNumberFormat="1" applyBorder="1" applyAlignment="1" applyProtection="1">
      <alignment horizontal="left"/>
      <protection/>
    </xf>
    <xf numFmtId="0" fontId="4" fillId="33" borderId="0" xfId="0" applyFont="1" applyFill="1" applyAlignment="1" applyProtection="1">
      <alignment/>
      <protection/>
    </xf>
    <xf numFmtId="0" fontId="0" fillId="0" borderId="13" xfId="0" applyFill="1" applyBorder="1" applyAlignment="1" applyProtection="1">
      <alignment vertical="top" wrapText="1"/>
      <protection/>
    </xf>
    <xf numFmtId="0" fontId="0" fillId="0" borderId="14" xfId="0" applyFill="1" applyBorder="1" applyAlignment="1" applyProtection="1">
      <alignment vertical="top" wrapText="1"/>
      <protection/>
    </xf>
    <xf numFmtId="0" fontId="0" fillId="33" borderId="0" xfId="0" applyFill="1" applyAlignment="1" applyProtection="1">
      <alignment vertical="top" wrapText="1"/>
      <protection/>
    </xf>
    <xf numFmtId="0" fontId="0" fillId="0" borderId="0" xfId="0" applyFill="1" applyBorder="1" applyAlignment="1" applyProtection="1">
      <alignment vertical="top" wrapText="1"/>
      <protection/>
    </xf>
    <xf numFmtId="0" fontId="6" fillId="0" borderId="14" xfId="0" applyFont="1" applyFill="1" applyBorder="1" applyAlignment="1" applyProtection="1">
      <alignment/>
      <protection/>
    </xf>
    <xf numFmtId="0" fontId="11" fillId="0" borderId="14" xfId="0" applyFont="1" applyFill="1" applyBorder="1" applyAlignment="1" applyProtection="1">
      <alignment horizontal="left"/>
      <protection/>
    </xf>
    <xf numFmtId="0" fontId="11" fillId="0" borderId="14" xfId="0" applyFont="1" applyFill="1" applyBorder="1" applyAlignment="1" applyProtection="1">
      <alignment/>
      <protection/>
    </xf>
    <xf numFmtId="0" fontId="0" fillId="0" borderId="0" xfId="0" applyBorder="1" applyAlignment="1" applyProtection="1">
      <alignment horizontal="left" vertical="center" wrapText="1"/>
      <protection/>
    </xf>
    <xf numFmtId="0" fontId="63" fillId="0" borderId="29" xfId="0" applyFont="1" applyBorder="1" applyAlignment="1" applyProtection="1">
      <alignment horizontal="center" vertical="center"/>
      <protection/>
    </xf>
    <xf numFmtId="0" fontId="0" fillId="0" borderId="23" xfId="0" applyFill="1" applyBorder="1" applyAlignment="1" applyProtection="1">
      <alignment horizontal="center"/>
      <protection/>
    </xf>
    <xf numFmtId="183" fontId="0" fillId="0" borderId="23" xfId="0" applyNumberFormat="1" applyFill="1" applyBorder="1" applyAlignment="1" applyProtection="1">
      <alignment horizontal="center"/>
      <protection/>
    </xf>
    <xf numFmtId="184" fontId="0" fillId="0" borderId="25" xfId="68" applyNumberFormat="1" applyFont="1" applyFill="1" applyBorder="1" applyAlignment="1" applyProtection="1">
      <alignment horizontal="center"/>
      <protection/>
    </xf>
    <xf numFmtId="0" fontId="0" fillId="0" borderId="21" xfId="0" applyFill="1" applyBorder="1" applyAlignment="1" applyProtection="1">
      <alignment horizontal="center"/>
      <protection/>
    </xf>
    <xf numFmtId="44" fontId="0" fillId="0" borderId="23" xfId="47" applyFont="1" applyBorder="1" applyAlignment="1" applyProtection="1">
      <alignment horizontal="center"/>
      <protection/>
    </xf>
    <xf numFmtId="44" fontId="0" fillId="0" borderId="25" xfId="47" applyFont="1" applyBorder="1" applyAlignment="1" applyProtection="1">
      <alignment horizontal="center"/>
      <protection/>
    </xf>
    <xf numFmtId="9" fontId="0" fillId="0" borderId="30" xfId="68" applyFont="1" applyFill="1" applyBorder="1" applyAlignment="1" applyProtection="1">
      <alignment horizontal="center"/>
      <protection/>
    </xf>
    <xf numFmtId="9" fontId="0" fillId="0" borderId="31" xfId="68" applyFont="1" applyFill="1" applyBorder="1" applyAlignment="1" applyProtection="1">
      <alignment horizontal="center"/>
      <protection/>
    </xf>
    <xf numFmtId="44" fontId="0" fillId="0" borderId="31" xfId="47" applyFont="1" applyFill="1" applyBorder="1" applyAlignment="1" applyProtection="1">
      <alignment horizontal="center"/>
      <protection/>
    </xf>
    <xf numFmtId="0" fontId="0" fillId="0" borderId="32" xfId="0" applyFill="1" applyBorder="1" applyAlignment="1" applyProtection="1">
      <alignment horizontal="center"/>
      <protection/>
    </xf>
    <xf numFmtId="0" fontId="63" fillId="0" borderId="33" xfId="0" applyFont="1" applyFill="1" applyBorder="1" applyAlignment="1" applyProtection="1">
      <alignment horizontal="right" vertical="center"/>
      <protection/>
    </xf>
    <xf numFmtId="0" fontId="35" fillId="15" borderId="34" xfId="0" applyFont="1" applyFill="1" applyBorder="1" applyAlignment="1" applyProtection="1">
      <alignment horizontal="center" vertical="center" wrapText="1"/>
      <protection/>
    </xf>
    <xf numFmtId="0" fontId="35" fillId="6" borderId="35" xfId="0" applyFont="1" applyFill="1" applyBorder="1" applyAlignment="1" applyProtection="1">
      <alignment horizontal="center" vertical="center" wrapText="1"/>
      <protection/>
    </xf>
    <xf numFmtId="0" fontId="35" fillId="6" borderId="36" xfId="0" applyFont="1" applyFill="1" applyBorder="1" applyAlignment="1" applyProtection="1">
      <alignment horizontal="center" vertical="center" wrapText="1"/>
      <protection/>
    </xf>
    <xf numFmtId="0" fontId="35" fillId="6" borderId="21" xfId="0" applyFont="1" applyFill="1" applyBorder="1" applyAlignment="1" applyProtection="1">
      <alignment horizontal="center" vertical="center" wrapText="1"/>
      <protection/>
    </xf>
    <xf numFmtId="0" fontId="63" fillId="0" borderId="37" xfId="0" applyFont="1" applyFill="1" applyBorder="1" applyAlignment="1" applyProtection="1">
      <alignment horizontal="center" vertical="center" wrapText="1"/>
      <protection/>
    </xf>
    <xf numFmtId="193" fontId="0" fillId="0" borderId="38" xfId="0" applyNumberFormat="1" applyFont="1" applyFill="1" applyBorder="1" applyAlignment="1" applyProtection="1">
      <alignment/>
      <protection/>
    </xf>
    <xf numFmtId="193" fontId="0" fillId="0" borderId="28" xfId="0" applyNumberFormat="1" applyFont="1" applyFill="1" applyBorder="1" applyAlignment="1" applyProtection="1">
      <alignment/>
      <protection/>
    </xf>
    <xf numFmtId="193" fontId="0" fillId="0" borderId="23" xfId="0" applyNumberFormat="1" applyFont="1" applyFill="1" applyBorder="1" applyAlignment="1" applyProtection="1">
      <alignment/>
      <protection/>
    </xf>
    <xf numFmtId="0" fontId="63" fillId="0" borderId="39" xfId="0" applyFont="1" applyFill="1" applyBorder="1" applyAlignment="1" applyProtection="1">
      <alignment horizontal="center" vertical="center" wrapText="1"/>
      <protection/>
    </xf>
    <xf numFmtId="9" fontId="0" fillId="0" borderId="40" xfId="68" applyFont="1" applyFill="1" applyBorder="1" applyAlignment="1" applyProtection="1">
      <alignment/>
      <protection/>
    </xf>
    <xf numFmtId="9" fontId="0" fillId="0" borderId="41" xfId="68" applyFont="1" applyFill="1" applyBorder="1" applyAlignment="1" applyProtection="1">
      <alignment/>
      <protection/>
    </xf>
    <xf numFmtId="0" fontId="0" fillId="0" borderId="17" xfId="0" applyFill="1" applyBorder="1" applyAlignment="1" applyProtection="1">
      <alignment/>
      <protection/>
    </xf>
    <xf numFmtId="0" fontId="0" fillId="19" borderId="23" xfId="0" applyFill="1" applyBorder="1" applyAlignment="1" applyProtection="1">
      <alignment horizontal="center"/>
      <protection locked="0"/>
    </xf>
    <xf numFmtId="44" fontId="0" fillId="17" borderId="23" xfId="47" applyFont="1" applyFill="1" applyBorder="1" applyAlignment="1" applyProtection="1">
      <alignment horizontal="center"/>
      <protection locked="0"/>
    </xf>
    <xf numFmtId="0" fontId="0" fillId="0" borderId="0" xfId="0" applyFont="1" applyAlignment="1" applyProtection="1">
      <alignment/>
      <protection/>
    </xf>
    <xf numFmtId="0" fontId="63" fillId="0" borderId="27" xfId="0" applyFont="1" applyBorder="1" applyAlignment="1" applyProtection="1">
      <alignment horizontal="center" vertical="center" wrapText="1"/>
      <protection/>
    </xf>
    <xf numFmtId="0" fontId="63" fillId="0" borderId="42" xfId="0" applyFont="1" applyBorder="1" applyAlignment="1" applyProtection="1">
      <alignment horizontal="center" vertical="center" wrapText="1"/>
      <protection/>
    </xf>
    <xf numFmtId="0" fontId="0" fillId="0" borderId="20" xfId="0" applyBorder="1" applyAlignment="1" applyProtection="1">
      <alignment horizontal="center"/>
      <protection/>
    </xf>
    <xf numFmtId="0" fontId="63" fillId="2" borderId="43" xfId="0" applyFont="1" applyFill="1" applyBorder="1" applyAlignment="1" applyProtection="1">
      <alignment/>
      <protection/>
    </xf>
    <xf numFmtId="0" fontId="63" fillId="2" borderId="44" xfId="0" applyFont="1" applyFill="1" applyBorder="1" applyAlignment="1" applyProtection="1">
      <alignment/>
      <protection/>
    </xf>
    <xf numFmtId="0" fontId="63" fillId="2" borderId="45" xfId="0" applyFont="1" applyFill="1" applyBorder="1" applyAlignment="1" applyProtection="1">
      <alignment/>
      <protection/>
    </xf>
    <xf numFmtId="0" fontId="0" fillId="0" borderId="22" xfId="0" applyBorder="1" applyAlignment="1" applyProtection="1">
      <alignment horizontal="center"/>
      <protection/>
    </xf>
    <xf numFmtId="0" fontId="0" fillId="0" borderId="41" xfId="0" applyBorder="1" applyAlignment="1" applyProtection="1">
      <alignment horizontal="center"/>
      <protection/>
    </xf>
    <xf numFmtId="0" fontId="0" fillId="0" borderId="25" xfId="0" applyBorder="1" applyAlignment="1" applyProtection="1">
      <alignment horizontal="center"/>
      <protection/>
    </xf>
    <xf numFmtId="0" fontId="0" fillId="0" borderId="24" xfId="0" applyBorder="1" applyAlignment="1" applyProtection="1">
      <alignment horizontal="center"/>
      <protection/>
    </xf>
    <xf numFmtId="0" fontId="0" fillId="0" borderId="41" xfId="0" applyFill="1" applyBorder="1" applyAlignment="1" applyProtection="1">
      <alignment horizontal="center"/>
      <protection/>
    </xf>
    <xf numFmtId="0" fontId="0" fillId="17" borderId="23" xfId="0" applyFill="1" applyBorder="1" applyAlignment="1" applyProtection="1">
      <alignment horizontal="center"/>
      <protection locked="0"/>
    </xf>
    <xf numFmtId="184" fontId="0" fillId="19" borderId="23" xfId="68" applyNumberFormat="1" applyFont="1" applyFill="1" applyBorder="1" applyAlignment="1" applyProtection="1">
      <alignment horizontal="center"/>
      <protection locked="0"/>
    </xf>
    <xf numFmtId="44" fontId="0" fillId="19" borderId="23" xfId="47" applyFont="1" applyFill="1" applyBorder="1" applyAlignment="1" applyProtection="1">
      <alignment horizontal="center"/>
      <protection locked="0"/>
    </xf>
    <xf numFmtId="0" fontId="35" fillId="15" borderId="21" xfId="0" applyFont="1" applyFill="1" applyBorder="1" applyAlignment="1" applyProtection="1">
      <alignment horizontal="center" vertical="center" wrapText="1"/>
      <protection/>
    </xf>
    <xf numFmtId="0" fontId="35" fillId="6" borderId="23" xfId="0" applyFont="1" applyFill="1" applyBorder="1" applyAlignment="1" applyProtection="1">
      <alignment horizontal="center" vertical="center" wrapText="1"/>
      <protection/>
    </xf>
    <xf numFmtId="195" fontId="8" fillId="34" borderId="25" xfId="0" applyNumberFormat="1" applyFont="1" applyFill="1" applyBorder="1" applyAlignment="1" applyProtection="1">
      <alignment horizontal="center"/>
      <protection/>
    </xf>
    <xf numFmtId="0" fontId="63" fillId="0" borderId="27" xfId="0" applyFont="1" applyFill="1" applyBorder="1" applyAlignment="1" applyProtection="1">
      <alignment horizontal="right" vertical="center"/>
      <protection/>
    </xf>
    <xf numFmtId="0" fontId="35" fillId="15" borderId="42" xfId="0" applyFont="1" applyFill="1" applyBorder="1" applyAlignment="1" applyProtection="1">
      <alignment horizontal="center" vertical="center" wrapText="1"/>
      <protection/>
    </xf>
    <xf numFmtId="0" fontId="35" fillId="6" borderId="42" xfId="0" applyFont="1" applyFill="1" applyBorder="1" applyAlignment="1" applyProtection="1">
      <alignment horizontal="center" vertical="center" wrapText="1"/>
      <protection/>
    </xf>
    <xf numFmtId="0" fontId="35" fillId="6" borderId="29" xfId="0" applyFont="1" applyFill="1" applyBorder="1" applyAlignment="1" applyProtection="1">
      <alignment horizontal="center" vertical="center" wrapText="1"/>
      <protection/>
    </xf>
    <xf numFmtId="0" fontId="63" fillId="0" borderId="46" xfId="0" applyFont="1" applyFill="1" applyBorder="1" applyAlignment="1" applyProtection="1">
      <alignment horizontal="center" vertical="center"/>
      <protection/>
    </xf>
    <xf numFmtId="195" fontId="8" fillId="0" borderId="47" xfId="0" applyNumberFormat="1" applyFont="1" applyFill="1" applyBorder="1" applyAlignment="1" applyProtection="1">
      <alignment horizontal="center"/>
      <protection/>
    </xf>
    <xf numFmtId="195" fontId="8" fillId="0" borderId="48" xfId="0" applyNumberFormat="1" applyFont="1" applyFill="1" applyBorder="1" applyAlignment="1" applyProtection="1">
      <alignment horizontal="center"/>
      <protection/>
    </xf>
    <xf numFmtId="0" fontId="63" fillId="0" borderId="22"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xf>
    <xf numFmtId="0" fontId="32" fillId="0" borderId="0" xfId="65" applyFont="1" applyFill="1" applyAlignment="1" applyProtection="1">
      <alignment horizontal="left" vertical="center"/>
      <protection/>
    </xf>
    <xf numFmtId="0" fontId="32" fillId="0" borderId="0" xfId="65" applyFont="1" applyFill="1" applyAlignment="1" applyProtection="1">
      <alignment horizontal="center" vertical="center"/>
      <protection/>
    </xf>
    <xf numFmtId="0" fontId="8" fillId="0" borderId="0" xfId="65" applyFont="1" applyFill="1" applyProtection="1">
      <alignment vertical="center"/>
      <protection/>
    </xf>
    <xf numFmtId="0" fontId="63" fillId="6" borderId="49" xfId="0" applyFont="1" applyFill="1" applyBorder="1" applyAlignment="1" applyProtection="1">
      <alignment horizontal="center" vertical="center" wrapText="1"/>
      <protection/>
    </xf>
    <xf numFmtId="0" fontId="63" fillId="6" borderId="50" xfId="0" applyFont="1" applyFill="1" applyBorder="1" applyAlignment="1" applyProtection="1">
      <alignment horizontal="center" vertical="center" wrapText="1"/>
      <protection/>
    </xf>
    <xf numFmtId="0" fontId="63" fillId="6" borderId="51" xfId="0" applyFont="1" applyFill="1" applyBorder="1" applyAlignment="1" applyProtection="1">
      <alignment horizontal="center" vertical="center" wrapText="1"/>
      <protection/>
    </xf>
    <xf numFmtId="0" fontId="63" fillId="6" borderId="52" xfId="0" applyFont="1" applyFill="1" applyBorder="1" applyAlignment="1" applyProtection="1">
      <alignment horizontal="center" vertical="center" wrapText="1"/>
      <protection/>
    </xf>
    <xf numFmtId="0" fontId="63" fillId="6" borderId="53" xfId="0" applyFont="1" applyFill="1" applyBorder="1" applyAlignment="1" applyProtection="1">
      <alignment horizontal="center" vertical="center" wrapText="1"/>
      <protection/>
    </xf>
    <xf numFmtId="0" fontId="0" fillId="0" borderId="0" xfId="0" applyFill="1" applyAlignment="1" applyProtection="1">
      <alignment/>
      <protection/>
    </xf>
    <xf numFmtId="0" fontId="63" fillId="6" borderId="20" xfId="0" applyFont="1" applyFill="1" applyBorder="1" applyAlignment="1" applyProtection="1">
      <alignment horizontal="center" vertical="center" wrapText="1"/>
      <protection/>
    </xf>
    <xf numFmtId="170" fontId="0" fillId="6" borderId="34" xfId="0" applyNumberFormat="1" applyFont="1" applyFill="1" applyBorder="1" applyAlignment="1" applyProtection="1">
      <alignment/>
      <protection/>
    </xf>
    <xf numFmtId="170" fontId="0" fillId="6" borderId="35" xfId="0" applyNumberFormat="1" applyFont="1" applyFill="1" applyBorder="1" applyAlignment="1" applyProtection="1">
      <alignment/>
      <protection/>
    </xf>
    <xf numFmtId="170" fontId="0" fillId="6" borderId="36" xfId="0" applyNumberFormat="1" applyFont="1" applyFill="1" applyBorder="1" applyAlignment="1" applyProtection="1">
      <alignment/>
      <protection/>
    </xf>
    <xf numFmtId="170" fontId="0" fillId="6" borderId="21" xfId="0" applyNumberFormat="1" applyFont="1" applyFill="1" applyBorder="1" applyAlignment="1" applyProtection="1">
      <alignment/>
      <protection/>
    </xf>
    <xf numFmtId="0" fontId="0" fillId="0" borderId="0" xfId="0" applyFont="1" applyFill="1" applyAlignment="1" applyProtection="1">
      <alignment/>
      <protection/>
    </xf>
    <xf numFmtId="0" fontId="0" fillId="0" borderId="14" xfId="0" applyFont="1" applyBorder="1" applyAlignment="1" applyProtection="1">
      <alignment/>
      <protection/>
    </xf>
    <xf numFmtId="0" fontId="0" fillId="33" borderId="0" xfId="0" applyFont="1" applyFill="1" applyAlignment="1" applyProtection="1">
      <alignment/>
      <protection/>
    </xf>
    <xf numFmtId="0" fontId="63" fillId="6" borderId="22" xfId="0" applyFont="1" applyFill="1" applyBorder="1" applyAlignment="1" applyProtection="1">
      <alignment horizontal="center" vertical="center" wrapText="1"/>
      <protection/>
    </xf>
    <xf numFmtId="195" fontId="0" fillId="6" borderId="38" xfId="0" applyNumberFormat="1" applyFont="1" applyFill="1" applyBorder="1" applyAlignment="1" applyProtection="1">
      <alignment/>
      <protection/>
    </xf>
    <xf numFmtId="195" fontId="0" fillId="6" borderId="18" xfId="0" applyNumberFormat="1" applyFont="1" applyFill="1" applyBorder="1" applyAlignment="1" applyProtection="1">
      <alignment/>
      <protection/>
    </xf>
    <xf numFmtId="195" fontId="0" fillId="6" borderId="28" xfId="0" applyNumberFormat="1" applyFont="1" applyFill="1" applyBorder="1" applyAlignment="1" applyProtection="1">
      <alignment/>
      <protection/>
    </xf>
    <xf numFmtId="195" fontId="0" fillId="6" borderId="23" xfId="0" applyNumberFormat="1" applyFont="1" applyFill="1" applyBorder="1" applyAlignment="1" applyProtection="1">
      <alignment/>
      <protection/>
    </xf>
    <xf numFmtId="170" fontId="0" fillId="6" borderId="38" xfId="0" applyNumberFormat="1" applyFont="1" applyFill="1" applyBorder="1" applyAlignment="1" applyProtection="1">
      <alignment/>
      <protection/>
    </xf>
    <xf numFmtId="170" fontId="0" fillId="6" borderId="18" xfId="0" applyNumberFormat="1" applyFont="1" applyFill="1" applyBorder="1" applyAlignment="1" applyProtection="1">
      <alignment/>
      <protection/>
    </xf>
    <xf numFmtId="170" fontId="0" fillId="6" borderId="28" xfId="0" applyNumberFormat="1" applyFont="1" applyFill="1" applyBorder="1" applyAlignment="1" applyProtection="1">
      <alignment/>
      <protection/>
    </xf>
    <xf numFmtId="170" fontId="0" fillId="6" borderId="23" xfId="0" applyNumberFormat="1" applyFont="1" applyFill="1" applyBorder="1" applyAlignment="1" applyProtection="1">
      <alignment/>
      <protection/>
    </xf>
    <xf numFmtId="9" fontId="0" fillId="6" borderId="38" xfId="68" applyFont="1" applyFill="1" applyBorder="1" applyAlignment="1" applyProtection="1">
      <alignment/>
      <protection/>
    </xf>
    <xf numFmtId="9" fontId="0" fillId="6" borderId="18" xfId="68" applyFont="1" applyFill="1" applyBorder="1" applyAlignment="1" applyProtection="1">
      <alignment/>
      <protection/>
    </xf>
    <xf numFmtId="9" fontId="0" fillId="6" borderId="28" xfId="68" applyFont="1" applyFill="1" applyBorder="1" applyAlignment="1" applyProtection="1">
      <alignment/>
      <protection/>
    </xf>
    <xf numFmtId="9" fontId="0" fillId="6" borderId="23" xfId="68" applyFont="1" applyFill="1" applyBorder="1" applyAlignment="1" applyProtection="1">
      <alignment/>
      <protection/>
    </xf>
    <xf numFmtId="0" fontId="63" fillId="6" borderId="24" xfId="0" applyFont="1" applyFill="1" applyBorder="1" applyAlignment="1" applyProtection="1">
      <alignment horizontal="center" vertical="center" wrapText="1"/>
      <protection/>
    </xf>
    <xf numFmtId="9" fontId="0" fillId="6" borderId="40" xfId="68" applyFont="1" applyFill="1" applyBorder="1" applyAlignment="1" applyProtection="1">
      <alignment/>
      <protection/>
    </xf>
    <xf numFmtId="9" fontId="0" fillId="6" borderId="54" xfId="68" applyFont="1" applyFill="1" applyBorder="1" applyAlignment="1" applyProtection="1">
      <alignment/>
      <protection/>
    </xf>
    <xf numFmtId="9" fontId="0" fillId="6" borderId="41" xfId="68" applyFont="1" applyFill="1" applyBorder="1" applyAlignment="1" applyProtection="1">
      <alignment/>
      <protection/>
    </xf>
    <xf numFmtId="9" fontId="0" fillId="6" borderId="25" xfId="68" applyFont="1" applyFill="1" applyBorder="1" applyAlignment="1" applyProtection="1">
      <alignment/>
      <protection/>
    </xf>
    <xf numFmtId="0" fontId="0" fillId="0" borderId="0" xfId="0" applyFont="1" applyBorder="1" applyAlignment="1" applyProtection="1">
      <alignment/>
      <protection/>
    </xf>
    <xf numFmtId="0" fontId="66" fillId="0" borderId="55" xfId="0" applyFont="1" applyFill="1" applyBorder="1" applyAlignment="1" applyProtection="1">
      <alignment vertical="center"/>
      <protection/>
    </xf>
    <xf numFmtId="0" fontId="66" fillId="0" borderId="56" xfId="0" applyFont="1" applyFill="1" applyBorder="1" applyAlignment="1" applyProtection="1">
      <alignment vertical="center"/>
      <protection/>
    </xf>
    <xf numFmtId="0" fontId="66" fillId="0" borderId="27" xfId="0" applyFont="1" applyFill="1" applyBorder="1" applyAlignment="1" applyProtection="1">
      <alignment vertical="center"/>
      <protection/>
    </xf>
    <xf numFmtId="0" fontId="66" fillId="0" borderId="26" xfId="0" applyFont="1" applyFill="1" applyBorder="1" applyAlignment="1" applyProtection="1">
      <alignment vertical="center"/>
      <protection/>
    </xf>
    <xf numFmtId="0" fontId="0" fillId="0" borderId="14" xfId="0" applyBorder="1" applyAlignment="1" applyProtection="1">
      <alignment vertical="center"/>
      <protection/>
    </xf>
    <xf numFmtId="0" fontId="0" fillId="33" borderId="0" xfId="0" applyFill="1" applyAlignment="1" applyProtection="1">
      <alignment vertical="center"/>
      <protection/>
    </xf>
    <xf numFmtId="0" fontId="63" fillId="10" borderId="27" xfId="0" applyFont="1" applyFill="1" applyBorder="1" applyAlignment="1" applyProtection="1">
      <alignment horizontal="center" vertical="center" wrapText="1"/>
      <protection/>
    </xf>
    <xf numFmtId="0" fontId="63" fillId="10" borderId="55" xfId="0" applyFont="1" applyFill="1" applyBorder="1" applyAlignment="1" applyProtection="1">
      <alignment horizontal="center" vertical="center" wrapText="1"/>
      <protection/>
    </xf>
    <xf numFmtId="0" fontId="63" fillId="10" borderId="57" xfId="0" applyFont="1" applyFill="1" applyBorder="1" applyAlignment="1" applyProtection="1">
      <alignment horizontal="center" vertical="center" wrapText="1"/>
      <protection/>
    </xf>
    <xf numFmtId="0" fontId="63" fillId="10" borderId="42" xfId="0" applyFont="1" applyFill="1" applyBorder="1" applyAlignment="1" applyProtection="1">
      <alignment horizontal="center" vertical="center" wrapText="1"/>
      <protection/>
    </xf>
    <xf numFmtId="0" fontId="63" fillId="10" borderId="29" xfId="0" applyFont="1" applyFill="1" applyBorder="1" applyAlignment="1" applyProtection="1">
      <alignment horizontal="center" vertical="center" wrapText="1"/>
      <protection/>
    </xf>
    <xf numFmtId="0" fontId="63" fillId="10" borderId="56" xfId="0"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protection/>
    </xf>
    <xf numFmtId="0" fontId="63" fillId="33" borderId="0" xfId="0" applyFont="1" applyFill="1" applyAlignment="1" applyProtection="1">
      <alignment horizontal="center" vertical="center"/>
      <protection/>
    </xf>
    <xf numFmtId="0" fontId="0" fillId="0" borderId="58" xfId="0" applyBorder="1" applyAlignment="1" applyProtection="1">
      <alignment horizontal="center"/>
      <protection/>
    </xf>
    <xf numFmtId="44" fontId="0" fillId="0" borderId="20" xfId="47" applyFont="1" applyBorder="1" applyAlignment="1" applyProtection="1">
      <alignment horizontal="center"/>
      <protection/>
    </xf>
    <xf numFmtId="44" fontId="0" fillId="0" borderId="36" xfId="47" applyFont="1" applyBorder="1" applyAlignment="1" applyProtection="1">
      <alignment horizontal="center"/>
      <protection/>
    </xf>
    <xf numFmtId="44" fontId="0" fillId="0" borderId="21" xfId="47" applyFont="1" applyBorder="1" applyAlignment="1" applyProtection="1">
      <alignment horizontal="center"/>
      <protection/>
    </xf>
    <xf numFmtId="44" fontId="0" fillId="0" borderId="59" xfId="47" applyFont="1" applyBorder="1" applyAlignment="1" applyProtection="1">
      <alignment/>
      <protection/>
    </xf>
    <xf numFmtId="44" fontId="0" fillId="0" borderId="60" xfId="47" applyFont="1" applyBorder="1" applyAlignment="1" applyProtection="1">
      <alignment horizontal="center"/>
      <protection/>
    </xf>
    <xf numFmtId="44" fontId="0" fillId="0" borderId="61" xfId="47" applyFont="1" applyBorder="1" applyAlignment="1" applyProtection="1">
      <alignment horizontal="center"/>
      <protection/>
    </xf>
    <xf numFmtId="44" fontId="0" fillId="0" borderId="62" xfId="47" applyFont="1" applyBorder="1" applyAlignment="1" applyProtection="1">
      <alignment horizontal="center"/>
      <protection/>
    </xf>
    <xf numFmtId="1" fontId="0" fillId="0" borderId="61" xfId="47" applyNumberFormat="1" applyFont="1" applyBorder="1" applyAlignment="1" applyProtection="1">
      <alignment horizontal="center"/>
      <protection/>
    </xf>
    <xf numFmtId="1" fontId="0" fillId="0" borderId="63" xfId="47" applyNumberFormat="1" applyFont="1" applyBorder="1" applyAlignment="1" applyProtection="1">
      <alignment horizontal="center"/>
      <protection/>
    </xf>
    <xf numFmtId="0" fontId="0" fillId="0" borderId="37" xfId="0" applyBorder="1" applyAlignment="1" applyProtection="1">
      <alignment horizontal="center"/>
      <protection/>
    </xf>
    <xf numFmtId="44" fontId="0" fillId="0" borderId="22" xfId="47" applyFont="1" applyBorder="1" applyAlignment="1" applyProtection="1">
      <alignment horizontal="center"/>
      <protection/>
    </xf>
    <xf numFmtId="44" fontId="0" fillId="0" borderId="28" xfId="47" applyFont="1" applyBorder="1" applyAlignment="1" applyProtection="1">
      <alignment horizontal="center"/>
      <protection/>
    </xf>
    <xf numFmtId="44" fontId="0" fillId="0" borderId="18" xfId="47" applyFont="1" applyBorder="1" applyAlignment="1" applyProtection="1">
      <alignment/>
      <protection/>
    </xf>
    <xf numFmtId="44" fontId="0" fillId="0" borderId="19" xfId="47" applyFont="1" applyBorder="1" applyAlignment="1" applyProtection="1">
      <alignment horizontal="center"/>
      <protection/>
    </xf>
    <xf numFmtId="44" fontId="0" fillId="0" borderId="63" xfId="47" applyFont="1" applyBorder="1" applyAlignment="1" applyProtection="1">
      <alignment horizontal="center"/>
      <protection/>
    </xf>
    <xf numFmtId="1" fontId="0" fillId="0" borderId="23" xfId="47" applyNumberFormat="1" applyFont="1" applyBorder="1" applyAlignment="1" applyProtection="1">
      <alignment horizontal="center"/>
      <protection/>
    </xf>
    <xf numFmtId="0" fontId="0" fillId="0" borderId="39" xfId="0" applyBorder="1" applyAlignment="1" applyProtection="1">
      <alignment horizontal="center"/>
      <protection/>
    </xf>
    <xf numFmtId="44" fontId="0" fillId="0" borderId="54" xfId="47" applyFont="1" applyBorder="1" applyAlignment="1" applyProtection="1">
      <alignment/>
      <protection/>
    </xf>
    <xf numFmtId="44" fontId="0" fillId="0" borderId="64" xfId="47" applyFont="1" applyBorder="1" applyAlignment="1" applyProtection="1">
      <alignment horizontal="center"/>
      <protection/>
    </xf>
    <xf numFmtId="44" fontId="0" fillId="0" borderId="24" xfId="47" applyFont="1" applyBorder="1" applyAlignment="1" applyProtection="1">
      <alignment horizontal="center"/>
      <protection/>
    </xf>
    <xf numFmtId="44" fontId="0" fillId="0" borderId="41" xfId="47" applyFont="1" applyBorder="1" applyAlignment="1" applyProtection="1">
      <alignment horizontal="center"/>
      <protection/>
    </xf>
    <xf numFmtId="44" fontId="0" fillId="0" borderId="47" xfId="47" applyFont="1" applyBorder="1" applyAlignment="1" applyProtection="1">
      <alignment horizontal="center"/>
      <protection/>
    </xf>
    <xf numFmtId="44" fontId="0" fillId="0" borderId="48" xfId="47" applyFont="1" applyBorder="1" applyAlignment="1" applyProtection="1">
      <alignment horizontal="center"/>
      <protection/>
    </xf>
    <xf numFmtId="1" fontId="0" fillId="0" borderId="24" xfId="47" applyNumberFormat="1" applyFont="1" applyBorder="1" applyAlignment="1" applyProtection="1">
      <alignment horizontal="center"/>
      <protection/>
    </xf>
    <xf numFmtId="1" fontId="0" fillId="0" borderId="25" xfId="47" applyNumberFormat="1" applyFont="1" applyBorder="1" applyAlignment="1" applyProtection="1">
      <alignment horizontal="center"/>
      <protection/>
    </xf>
    <xf numFmtId="0" fontId="0" fillId="0" borderId="16" xfId="0" applyBorder="1" applyAlignment="1" applyProtection="1">
      <alignment horizontal="center"/>
      <protection/>
    </xf>
    <xf numFmtId="44" fontId="0" fillId="0" borderId="16" xfId="47" applyFont="1" applyBorder="1" applyAlignment="1" applyProtection="1">
      <alignment horizontal="center"/>
      <protection/>
    </xf>
    <xf numFmtId="44" fontId="0" fillId="0" borderId="16" xfId="47" applyFont="1" applyBorder="1" applyAlignment="1" applyProtection="1">
      <alignment/>
      <protection/>
    </xf>
    <xf numFmtId="0" fontId="0" fillId="0" borderId="17" xfId="0" applyBorder="1" applyAlignment="1" applyProtection="1">
      <alignment/>
      <protection/>
    </xf>
    <xf numFmtId="0" fontId="0" fillId="33" borderId="0" xfId="0" applyFill="1" applyBorder="1" applyAlignment="1" applyProtection="1">
      <alignment horizontal="center"/>
      <protection/>
    </xf>
    <xf numFmtId="44" fontId="0" fillId="33" borderId="0" xfId="47" applyFont="1" applyFill="1" applyBorder="1" applyAlignment="1" applyProtection="1">
      <alignment horizontal="center"/>
      <protection/>
    </xf>
    <xf numFmtId="44" fontId="0" fillId="33" borderId="0" xfId="47" applyFont="1" applyFill="1" applyBorder="1" applyAlignment="1" applyProtection="1">
      <alignment/>
      <protection/>
    </xf>
    <xf numFmtId="0" fontId="67" fillId="33" borderId="0" xfId="0" applyFont="1" applyFill="1" applyAlignment="1" applyProtection="1">
      <alignment/>
      <protection/>
    </xf>
    <xf numFmtId="0" fontId="4" fillId="0" borderId="10" xfId="0" applyFont="1" applyFill="1" applyBorder="1" applyAlignment="1" applyProtection="1">
      <alignment/>
      <protection/>
    </xf>
    <xf numFmtId="0" fontId="4" fillId="0" borderId="11" xfId="0" applyFont="1" applyFill="1" applyBorder="1" applyAlignment="1" applyProtection="1">
      <alignment/>
      <protection/>
    </xf>
    <xf numFmtId="0" fontId="4" fillId="0" borderId="12" xfId="0" applyFont="1" applyFill="1" applyBorder="1" applyAlignment="1" applyProtection="1">
      <alignment/>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7" fillId="0" borderId="27" xfId="0" applyFont="1" applyFill="1" applyBorder="1" applyAlignment="1" applyProtection="1">
      <alignment horizontal="center"/>
      <protection/>
    </xf>
    <xf numFmtId="0" fontId="7" fillId="0" borderId="42" xfId="0" applyFont="1" applyFill="1" applyBorder="1" applyAlignment="1" applyProtection="1">
      <alignment horizontal="center"/>
      <protection/>
    </xf>
    <xf numFmtId="0" fontId="1" fillId="33" borderId="0" xfId="0" applyFont="1" applyFill="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protection/>
    </xf>
    <xf numFmtId="0" fontId="0" fillId="0" borderId="14" xfId="0" applyFont="1" applyFill="1" applyBorder="1" applyAlignment="1" applyProtection="1">
      <alignment/>
      <protection/>
    </xf>
    <xf numFmtId="0" fontId="0" fillId="0" borderId="22" xfId="0" applyFont="1" applyFill="1" applyBorder="1" applyAlignment="1" applyProtection="1">
      <alignment horizontal="center" vertical="center"/>
      <protection/>
    </xf>
    <xf numFmtId="0" fontId="4" fillId="0" borderId="15" xfId="0" applyFont="1" applyFill="1" applyBorder="1" applyAlignment="1" applyProtection="1">
      <alignment/>
      <protection/>
    </xf>
    <xf numFmtId="0" fontId="4" fillId="0" borderId="16" xfId="0" applyFont="1" applyFill="1" applyBorder="1" applyAlignment="1" applyProtection="1">
      <alignment/>
      <protection/>
    </xf>
    <xf numFmtId="0" fontId="4" fillId="0" borderId="17" xfId="0" applyFont="1" applyFill="1" applyBorder="1" applyAlignment="1" applyProtection="1">
      <alignment/>
      <protection/>
    </xf>
    <xf numFmtId="184" fontId="0" fillId="17" borderId="23" xfId="68" applyNumberFormat="1" applyFont="1" applyFill="1" applyBorder="1" applyAlignment="1" applyProtection="1">
      <alignment horizontal="center"/>
      <protection locked="0"/>
    </xf>
    <xf numFmtId="0" fontId="8" fillId="19" borderId="25" xfId="0" applyFont="1" applyFill="1" applyBorder="1" applyAlignment="1" applyProtection="1">
      <alignment horizontal="center"/>
      <protection locked="0"/>
    </xf>
    <xf numFmtId="44" fontId="0" fillId="17" borderId="25" xfId="47" applyFont="1" applyFill="1" applyBorder="1" applyAlignment="1" applyProtection="1">
      <alignment horizontal="center"/>
      <protection locked="0"/>
    </xf>
    <xf numFmtId="44" fontId="0" fillId="0" borderId="23" xfId="47"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33" borderId="13" xfId="0" applyFill="1" applyBorder="1" applyAlignment="1" applyProtection="1">
      <alignment/>
      <protection/>
    </xf>
    <xf numFmtId="0" fontId="4" fillId="0" borderId="65" xfId="0" applyFont="1" applyFill="1" applyBorder="1" applyAlignment="1" applyProtection="1">
      <alignment/>
      <protection/>
    </xf>
    <xf numFmtId="0" fontId="0" fillId="0" borderId="0" xfId="0" applyBorder="1" applyAlignment="1" applyProtection="1">
      <alignment/>
      <protection/>
    </xf>
    <xf numFmtId="1" fontId="0" fillId="17" borderId="23" xfId="0" applyNumberFormat="1" applyFill="1" applyBorder="1" applyAlignment="1" applyProtection="1">
      <alignment horizontal="center"/>
      <protection locked="0"/>
    </xf>
    <xf numFmtId="0" fontId="66" fillId="16" borderId="10" xfId="0" applyFont="1" applyFill="1" applyBorder="1" applyAlignment="1" applyProtection="1">
      <alignment horizontal="center" vertical="center"/>
      <protection/>
    </xf>
    <xf numFmtId="0" fontId="66" fillId="16" borderId="11" xfId="0" applyFont="1" applyFill="1" applyBorder="1" applyAlignment="1" applyProtection="1">
      <alignment horizontal="center" vertical="center"/>
      <protection/>
    </xf>
    <xf numFmtId="0" fontId="66" fillId="16" borderId="12" xfId="0" applyFont="1" applyFill="1" applyBorder="1" applyAlignment="1" applyProtection="1">
      <alignment horizontal="center" vertical="center"/>
      <protection/>
    </xf>
    <xf numFmtId="0" fontId="0" fillId="0" borderId="20"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22" xfId="0" applyFill="1" applyBorder="1" applyAlignment="1" applyProtection="1">
      <alignment horizontal="left" vertical="center" wrapText="1"/>
      <protection/>
    </xf>
    <xf numFmtId="0" fontId="0" fillId="0" borderId="28" xfId="0" applyFill="1" applyBorder="1" applyAlignment="1" applyProtection="1">
      <alignment horizontal="left" vertical="center" wrapText="1"/>
      <protection/>
    </xf>
    <xf numFmtId="0" fontId="0" fillId="0" borderId="23" xfId="0"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0" borderId="28"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55" fillId="0" borderId="22" xfId="59" applyBorder="1" applyAlignment="1" applyProtection="1">
      <alignment horizontal="center" vertical="center" wrapText="1"/>
      <protection/>
    </xf>
    <xf numFmtId="0" fontId="55" fillId="0" borderId="28" xfId="59" applyBorder="1" applyAlignment="1" applyProtection="1">
      <alignment horizontal="center" vertical="center" wrapText="1"/>
      <protection/>
    </xf>
    <xf numFmtId="0" fontId="55" fillId="0" borderId="23" xfId="59" applyBorder="1" applyAlignment="1" applyProtection="1">
      <alignment horizontal="center" vertical="center" wrapText="1"/>
      <protection/>
    </xf>
    <xf numFmtId="0" fontId="55" fillId="0" borderId="24" xfId="59" applyBorder="1" applyAlignment="1" applyProtection="1">
      <alignment horizontal="center" vertical="center" wrapText="1"/>
      <protection/>
    </xf>
    <xf numFmtId="0" fontId="55" fillId="0" borderId="41" xfId="59" applyBorder="1" applyAlignment="1" applyProtection="1">
      <alignment horizontal="center" vertical="center" wrapText="1"/>
      <protection/>
    </xf>
    <xf numFmtId="0" fontId="55" fillId="0" borderId="25" xfId="59" applyBorder="1" applyAlignment="1" applyProtection="1">
      <alignment horizontal="center" vertical="center" wrapText="1"/>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68" fillId="0" borderId="10" xfId="0" applyFont="1" applyFill="1" applyBorder="1" applyAlignment="1" applyProtection="1">
      <alignment horizontal="center" vertical="center"/>
      <protection/>
    </xf>
    <xf numFmtId="0" fontId="68" fillId="0" borderId="51"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protection/>
    </xf>
    <xf numFmtId="0" fontId="68" fillId="0" borderId="66" xfId="0" applyFont="1" applyFill="1" applyBorder="1" applyAlignment="1" applyProtection="1">
      <alignment horizontal="center" vertical="center"/>
      <protection/>
    </xf>
    <xf numFmtId="0" fontId="68" fillId="0" borderId="15" xfId="0" applyFont="1" applyFill="1" applyBorder="1" applyAlignment="1" applyProtection="1">
      <alignment horizontal="center" vertical="center"/>
      <protection/>
    </xf>
    <xf numFmtId="0" fontId="68" fillId="0" borderId="67" xfId="0" applyFont="1" applyFill="1" applyBorder="1" applyAlignment="1" applyProtection="1">
      <alignment horizontal="center" vertical="center"/>
      <protection/>
    </xf>
    <xf numFmtId="0" fontId="0" fillId="0" borderId="68"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10" fillId="16" borderId="44" xfId="0" applyFont="1" applyFill="1" applyBorder="1" applyAlignment="1" applyProtection="1">
      <alignment horizontal="center" vertical="center" wrapText="1"/>
      <protection/>
    </xf>
    <xf numFmtId="0" fontId="10" fillId="16" borderId="45"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66" xfId="0" applyFont="1" applyFill="1" applyBorder="1" applyAlignment="1" applyProtection="1">
      <alignment horizontal="center"/>
      <protection/>
    </xf>
    <xf numFmtId="0" fontId="9" fillId="19" borderId="19" xfId="0" applyFont="1" applyFill="1" applyBorder="1" applyAlignment="1" applyProtection="1">
      <alignment horizontal="center" vertical="center" wrapText="1"/>
      <protection/>
    </xf>
    <xf numFmtId="0" fontId="9" fillId="19" borderId="31" xfId="0" applyFont="1" applyFill="1" applyBorder="1" applyAlignment="1" applyProtection="1">
      <alignment horizontal="center" vertical="center" wrapText="1"/>
      <protection/>
    </xf>
    <xf numFmtId="0" fontId="65" fillId="17" borderId="19" xfId="0" applyFont="1" applyFill="1" applyBorder="1" applyAlignment="1" applyProtection="1">
      <alignment horizontal="center"/>
      <protection/>
    </xf>
    <xf numFmtId="0" fontId="65" fillId="17" borderId="31"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67" xfId="0" applyFont="1" applyFill="1" applyBorder="1" applyAlignment="1" applyProtection="1">
      <alignment horizontal="center"/>
      <protection/>
    </xf>
    <xf numFmtId="0" fontId="9" fillId="8" borderId="71" xfId="0" applyFont="1" applyFill="1" applyBorder="1" applyAlignment="1" applyProtection="1">
      <alignment horizontal="center"/>
      <protection/>
    </xf>
    <xf numFmtId="0" fontId="9" fillId="8" borderId="32" xfId="0" applyFont="1" applyFill="1" applyBorder="1" applyAlignment="1" applyProtection="1">
      <alignment horizontal="center"/>
      <protection/>
    </xf>
    <xf numFmtId="0" fontId="69" fillId="16" borderId="10" xfId="0" applyFont="1" applyFill="1" applyBorder="1" applyAlignment="1" applyProtection="1">
      <alignment horizontal="center"/>
      <protection/>
    </xf>
    <xf numFmtId="0" fontId="69" fillId="16" borderId="11" xfId="0" applyFont="1" applyFill="1" applyBorder="1" applyAlignment="1" applyProtection="1">
      <alignment horizontal="center"/>
      <protection/>
    </xf>
    <xf numFmtId="0" fontId="69" fillId="16" borderId="12" xfId="0" applyFont="1" applyFill="1" applyBorder="1" applyAlignment="1" applyProtection="1">
      <alignment horizontal="center"/>
      <protection/>
    </xf>
    <xf numFmtId="0" fontId="66" fillId="16" borderId="15" xfId="0" applyFont="1" applyFill="1" applyBorder="1" applyAlignment="1" applyProtection="1">
      <alignment horizontal="center" vertical="center"/>
      <protection/>
    </xf>
    <xf numFmtId="0" fontId="66" fillId="16" borderId="16" xfId="0" applyFont="1" applyFill="1" applyBorder="1" applyAlignment="1" applyProtection="1">
      <alignment horizontal="center" vertical="center"/>
      <protection/>
    </xf>
    <xf numFmtId="0" fontId="66" fillId="16" borderId="17" xfId="0" applyFont="1" applyFill="1" applyBorder="1" applyAlignment="1" applyProtection="1">
      <alignment horizontal="center" vertical="center"/>
      <protection/>
    </xf>
    <xf numFmtId="14" fontId="65" fillId="0" borderId="19" xfId="0" applyNumberFormat="1" applyFont="1" applyFill="1" applyBorder="1" applyAlignment="1" applyProtection="1">
      <alignment horizontal="right"/>
      <protection/>
    </xf>
    <xf numFmtId="0" fontId="0" fillId="0" borderId="65" xfId="0" applyFill="1" applyBorder="1" applyAlignment="1" applyProtection="1">
      <alignment/>
      <protection/>
    </xf>
    <xf numFmtId="191" fontId="65" fillId="0" borderId="65" xfId="0" applyNumberFormat="1" applyFont="1" applyFill="1" applyBorder="1" applyAlignment="1" applyProtection="1">
      <alignment horizontal="left"/>
      <protection/>
    </xf>
    <xf numFmtId="191" fontId="0" fillId="0" borderId="65" xfId="0" applyNumberFormat="1" applyFill="1" applyBorder="1" applyAlignment="1" applyProtection="1">
      <alignment/>
      <protection/>
    </xf>
    <xf numFmtId="191" fontId="0" fillId="0" borderId="18" xfId="0" applyNumberFormat="1" applyFill="1" applyBorder="1" applyAlignment="1" applyProtection="1">
      <alignment/>
      <protection/>
    </xf>
    <xf numFmtId="0" fontId="55" fillId="0" borderId="20" xfId="59" applyFill="1" applyBorder="1" applyAlignment="1" applyProtection="1">
      <alignment horizontal="center" wrapText="1"/>
      <protection/>
    </xf>
    <xf numFmtId="0" fontId="55" fillId="0" borderId="36" xfId="59" applyFill="1" applyBorder="1" applyAlignment="1" applyProtection="1">
      <alignment horizontal="center" wrapText="1"/>
      <protection/>
    </xf>
    <xf numFmtId="0" fontId="55" fillId="0" borderId="21" xfId="59" applyFill="1" applyBorder="1" applyAlignment="1" applyProtection="1">
      <alignment horizontal="center" wrapText="1"/>
      <protection/>
    </xf>
    <xf numFmtId="0" fontId="55" fillId="0" borderId="72" xfId="59" applyFill="1" applyBorder="1" applyAlignment="1" applyProtection="1">
      <alignment horizontal="center" wrapText="1"/>
      <protection/>
    </xf>
    <xf numFmtId="0" fontId="55" fillId="0" borderId="73" xfId="59" applyFill="1" applyBorder="1" applyAlignment="1" applyProtection="1">
      <alignment horizontal="center" wrapText="1"/>
      <protection/>
    </xf>
    <xf numFmtId="0" fontId="55" fillId="0" borderId="74" xfId="59" applyFill="1" applyBorder="1" applyAlignment="1" applyProtection="1">
      <alignment horizontal="center" wrapText="1"/>
      <protection/>
    </xf>
    <xf numFmtId="0" fontId="65" fillId="0" borderId="39" xfId="0" applyFont="1" applyFill="1" applyBorder="1" applyAlignment="1" applyProtection="1">
      <alignment horizontal="right"/>
      <protection/>
    </xf>
    <xf numFmtId="0" fontId="65" fillId="0" borderId="71" xfId="0" applyFont="1" applyFill="1" applyBorder="1" applyAlignment="1" applyProtection="1">
      <alignment horizontal="right"/>
      <protection/>
    </xf>
    <xf numFmtId="191" fontId="65" fillId="0" borderId="54" xfId="0" applyNumberFormat="1" applyFont="1" applyFill="1" applyBorder="1" applyAlignment="1" applyProtection="1">
      <alignment horizontal="left"/>
      <protection/>
    </xf>
    <xf numFmtId="191" fontId="65" fillId="0" borderId="41" xfId="0" applyNumberFormat="1" applyFont="1" applyFill="1" applyBorder="1" applyAlignment="1" applyProtection="1">
      <alignment horizontal="left"/>
      <protection/>
    </xf>
    <xf numFmtId="191" fontId="65" fillId="0" borderId="25" xfId="0" applyNumberFormat="1" applyFont="1" applyFill="1" applyBorder="1" applyAlignment="1" applyProtection="1">
      <alignment horizontal="left"/>
      <protection/>
    </xf>
    <xf numFmtId="0" fontId="0" fillId="0" borderId="33" xfId="0" applyFill="1" applyBorder="1" applyAlignment="1" applyProtection="1">
      <alignment horizontal="left"/>
      <protection/>
    </xf>
    <xf numFmtId="0" fontId="0" fillId="0" borderId="75" xfId="0" applyFill="1" applyBorder="1" applyAlignment="1" applyProtection="1">
      <alignment horizontal="left"/>
      <protection/>
    </xf>
    <xf numFmtId="0" fontId="0" fillId="0" borderId="57" xfId="0" applyFill="1" applyBorder="1" applyAlignment="1" applyProtection="1">
      <alignment horizontal="left"/>
      <protection/>
    </xf>
    <xf numFmtId="0" fontId="0" fillId="0" borderId="33" xfId="0" applyBorder="1" applyAlignment="1" applyProtection="1">
      <alignment horizontal="center"/>
      <protection/>
    </xf>
    <xf numFmtId="0" fontId="0" fillId="0" borderId="75" xfId="0" applyBorder="1" applyAlignment="1" applyProtection="1">
      <alignment horizontal="center"/>
      <protection/>
    </xf>
    <xf numFmtId="0" fontId="0" fillId="0" borderId="57" xfId="0" applyBorder="1" applyAlignment="1" applyProtection="1">
      <alignment horizontal="center"/>
      <protection/>
    </xf>
    <xf numFmtId="0" fontId="63" fillId="2" borderId="10" xfId="0" applyFont="1" applyFill="1" applyBorder="1" applyAlignment="1" applyProtection="1">
      <alignment horizontal="center"/>
      <protection/>
    </xf>
    <xf numFmtId="0" fontId="63" fillId="2" borderId="11" xfId="0" applyFont="1" applyFill="1" applyBorder="1" applyAlignment="1" applyProtection="1">
      <alignment horizontal="center"/>
      <protection/>
    </xf>
    <xf numFmtId="0" fontId="63" fillId="2" borderId="12" xfId="0" applyFont="1" applyFill="1" applyBorder="1" applyAlignment="1" applyProtection="1">
      <alignment horizontal="center"/>
      <protection/>
    </xf>
    <xf numFmtId="0" fontId="0" fillId="0" borderId="20" xfId="0" applyBorder="1" applyAlignment="1" applyProtection="1">
      <alignment horizontal="left"/>
      <protection/>
    </xf>
    <xf numFmtId="0" fontId="0" fillId="0" borderId="36" xfId="0" applyBorder="1" applyAlignment="1" applyProtection="1">
      <alignment horizontal="left"/>
      <protection/>
    </xf>
    <xf numFmtId="0" fontId="0" fillId="0" borderId="22" xfId="0" applyBorder="1" applyAlignment="1" applyProtection="1">
      <alignment horizontal="left"/>
      <protection/>
    </xf>
    <xf numFmtId="0" fontId="0" fillId="0" borderId="28" xfId="0" applyBorder="1" applyAlignment="1" applyProtection="1">
      <alignment horizontal="left"/>
      <protection/>
    </xf>
    <xf numFmtId="0" fontId="0" fillId="0" borderId="1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3" xfId="0" applyBorder="1" applyAlignment="1" applyProtection="1">
      <alignment horizontal="left"/>
      <protection/>
    </xf>
    <xf numFmtId="0" fontId="0" fillId="0" borderId="33" xfId="0" applyFill="1" applyBorder="1" applyAlignment="1" applyProtection="1">
      <alignment horizontal="center" vertical="center" wrapText="1"/>
      <protection/>
    </xf>
    <xf numFmtId="0" fontId="0" fillId="0" borderId="75" xfId="0" applyFill="1" applyBorder="1" applyAlignment="1" applyProtection="1">
      <alignment horizontal="center" vertical="center" wrapText="1"/>
      <protection/>
    </xf>
    <xf numFmtId="0" fontId="0" fillId="0" borderId="57" xfId="0" applyFill="1" applyBorder="1" applyAlignment="1" applyProtection="1">
      <alignment horizontal="center" vertical="center" wrapText="1"/>
      <protection/>
    </xf>
    <xf numFmtId="0" fontId="63" fillId="2" borderId="33" xfId="0" applyFont="1" applyFill="1" applyBorder="1" applyAlignment="1" applyProtection="1">
      <alignment horizontal="center"/>
      <protection/>
    </xf>
    <xf numFmtId="0" fontId="63" fillId="2" borderId="75" xfId="0" applyFont="1" applyFill="1" applyBorder="1" applyAlignment="1" applyProtection="1">
      <alignment horizontal="center"/>
      <protection/>
    </xf>
    <xf numFmtId="0" fontId="63" fillId="2" borderId="57" xfId="0" applyFont="1" applyFill="1" applyBorder="1" applyAlignment="1" applyProtection="1">
      <alignment horizontal="center"/>
      <protection/>
    </xf>
    <xf numFmtId="0" fontId="63" fillId="2" borderId="20" xfId="0" applyFont="1" applyFill="1" applyBorder="1" applyAlignment="1" applyProtection="1">
      <alignment horizontal="center"/>
      <protection/>
    </xf>
    <xf numFmtId="0" fontId="63" fillId="2" borderId="36" xfId="0" applyFont="1" applyFill="1" applyBorder="1" applyAlignment="1" applyProtection="1">
      <alignment horizontal="center"/>
      <protection/>
    </xf>
    <xf numFmtId="0" fontId="63" fillId="2" borderId="21" xfId="0" applyFont="1" applyFill="1" applyBorder="1" applyAlignment="1" applyProtection="1">
      <alignment horizontal="center"/>
      <protection/>
    </xf>
    <xf numFmtId="0" fontId="0" fillId="0" borderId="24" xfId="0" applyBorder="1" applyAlignment="1" applyProtection="1">
      <alignment horizontal="left"/>
      <protection/>
    </xf>
    <xf numFmtId="0" fontId="0" fillId="0" borderId="41" xfId="0" applyBorder="1" applyAlignment="1" applyProtection="1">
      <alignment horizontal="left"/>
      <protection/>
    </xf>
    <xf numFmtId="0" fontId="0" fillId="0" borderId="33" xfId="0" applyFill="1" applyBorder="1" applyAlignment="1" applyProtection="1">
      <alignment horizontal="left" wrapText="1"/>
      <protection/>
    </xf>
    <xf numFmtId="0" fontId="0" fillId="0" borderId="75" xfId="0" applyFill="1" applyBorder="1" applyAlignment="1" applyProtection="1">
      <alignment horizontal="left" wrapText="1"/>
      <protection/>
    </xf>
    <xf numFmtId="0" fontId="0" fillId="0" borderId="57" xfId="0" applyFill="1" applyBorder="1" applyAlignment="1" applyProtection="1">
      <alignment horizontal="left" wrapText="1"/>
      <protection/>
    </xf>
    <xf numFmtId="0" fontId="0" fillId="0" borderId="33"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0" fillId="0" borderId="57" xfId="0" applyFill="1" applyBorder="1" applyAlignment="1" applyProtection="1">
      <alignment horizontal="left" vertical="center" wrapText="1"/>
      <protection/>
    </xf>
    <xf numFmtId="0" fontId="69" fillId="16" borderId="33" xfId="0" applyFont="1" applyFill="1" applyBorder="1" applyAlignment="1" applyProtection="1">
      <alignment horizontal="center"/>
      <protection/>
    </xf>
    <xf numFmtId="0" fontId="69" fillId="16" borderId="75" xfId="0" applyFont="1" applyFill="1" applyBorder="1" applyAlignment="1" applyProtection="1">
      <alignment horizontal="center"/>
      <protection/>
    </xf>
    <xf numFmtId="0" fontId="69" fillId="16" borderId="57" xfId="0" applyFont="1" applyFill="1" applyBorder="1" applyAlignment="1" applyProtection="1">
      <alignment horizontal="center"/>
      <protection/>
    </xf>
    <xf numFmtId="0" fontId="0" fillId="0" borderId="21" xfId="0" applyBorder="1" applyAlignment="1" applyProtection="1">
      <alignment horizontal="left"/>
      <protection/>
    </xf>
    <xf numFmtId="0" fontId="55" fillId="0" borderId="15" xfId="59" applyFill="1" applyBorder="1" applyAlignment="1" applyProtection="1">
      <alignment horizontal="left" vertical="center" wrapText="1"/>
      <protection/>
    </xf>
    <xf numFmtId="0" fontId="55" fillId="0" borderId="16" xfId="59" applyFill="1" applyBorder="1" applyAlignment="1" applyProtection="1">
      <alignment horizontal="left" vertical="center" wrapText="1"/>
      <protection/>
    </xf>
    <xf numFmtId="0" fontId="55" fillId="0" borderId="17" xfId="59" applyFill="1" applyBorder="1" applyAlignment="1" applyProtection="1">
      <alignment horizontal="left" vertical="center" wrapText="1"/>
      <protection/>
    </xf>
    <xf numFmtId="0" fontId="63" fillId="0" borderId="33" xfId="0" applyFont="1" applyBorder="1" applyAlignment="1" applyProtection="1">
      <alignment horizontal="center" vertical="center" wrapText="1"/>
      <protection/>
    </xf>
    <xf numFmtId="0" fontId="63" fillId="0" borderId="75" xfId="0" applyFont="1" applyBorder="1" applyAlignment="1" applyProtection="1">
      <alignment horizontal="center" vertical="center" wrapText="1"/>
      <protection/>
    </xf>
    <xf numFmtId="0" fontId="63" fillId="0" borderId="55" xfId="0" applyFont="1" applyBorder="1" applyAlignment="1" applyProtection="1">
      <alignment horizontal="center" vertical="center" wrapText="1"/>
      <protection/>
    </xf>
    <xf numFmtId="0" fontId="0" fillId="0" borderId="15"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25" xfId="0" applyBorder="1" applyAlignment="1" applyProtection="1">
      <alignment horizontal="left"/>
      <protection/>
    </xf>
    <xf numFmtId="0" fontId="55" fillId="0" borderId="19" xfId="59" applyBorder="1" applyAlignment="1" applyProtection="1">
      <alignment horizontal="center"/>
      <protection/>
    </xf>
    <xf numFmtId="0" fontId="55" fillId="0" borderId="65" xfId="59" applyBorder="1" applyAlignment="1" applyProtection="1">
      <alignment horizontal="center"/>
      <protection/>
    </xf>
    <xf numFmtId="0" fontId="0" fillId="0" borderId="19" xfId="0" applyBorder="1" applyAlignment="1" applyProtection="1">
      <alignment horizontal="right"/>
      <protection/>
    </xf>
    <xf numFmtId="0" fontId="0" fillId="0" borderId="65" xfId="0" applyBorder="1" applyAlignment="1" applyProtection="1">
      <alignment horizontal="right"/>
      <protection/>
    </xf>
    <xf numFmtId="0" fontId="5" fillId="16" borderId="33" xfId="0" applyFont="1" applyFill="1" applyBorder="1" applyAlignment="1" applyProtection="1">
      <alignment horizontal="center"/>
      <protection/>
    </xf>
    <xf numFmtId="0" fontId="5" fillId="16" borderId="75" xfId="0" applyFont="1" applyFill="1" applyBorder="1" applyAlignment="1" applyProtection="1">
      <alignment horizontal="center"/>
      <protection/>
    </xf>
    <xf numFmtId="0" fontId="5" fillId="16" borderId="57" xfId="0" applyFont="1" applyFill="1" applyBorder="1" applyAlignment="1" applyProtection="1">
      <alignment horizontal="center"/>
      <protection/>
    </xf>
    <xf numFmtId="0" fontId="0" fillId="0" borderId="76" xfId="0" applyFill="1" applyBorder="1" applyAlignment="1" applyProtection="1">
      <alignment horizontal="left" vertical="center" wrapText="1"/>
      <protection/>
    </xf>
    <xf numFmtId="0" fontId="0" fillId="0" borderId="44" xfId="0" applyFont="1" applyFill="1" applyBorder="1" applyAlignment="1" applyProtection="1">
      <alignment horizontal="left" vertical="center" wrapText="1"/>
      <protection/>
    </xf>
    <xf numFmtId="0" fontId="0" fillId="0" borderId="45"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 fillId="0" borderId="75" xfId="0" applyFont="1" applyFill="1" applyBorder="1" applyAlignment="1" applyProtection="1">
      <alignment horizontal="left" vertical="center" wrapText="1"/>
      <protection/>
    </xf>
    <xf numFmtId="0" fontId="1" fillId="0" borderId="57" xfId="0" applyFont="1" applyFill="1" applyBorder="1" applyAlignment="1" applyProtection="1">
      <alignment horizontal="left" vertical="center" wrapText="1"/>
      <protection/>
    </xf>
    <xf numFmtId="0" fontId="32" fillId="0" borderId="19" xfId="65" applyFont="1" applyFill="1" applyBorder="1" applyAlignment="1" applyProtection="1">
      <alignment horizontal="center" vertical="center"/>
      <protection/>
    </xf>
    <xf numFmtId="0" fontId="32" fillId="0" borderId="18" xfId="65" applyFont="1" applyFill="1" applyBorder="1" applyAlignment="1" applyProtection="1">
      <alignment horizontal="center" vertical="center"/>
      <protection/>
    </xf>
    <xf numFmtId="0" fontId="55" fillId="0" borderId="19" xfId="59" applyFill="1" applyBorder="1" applyAlignment="1" applyProtection="1">
      <alignment horizontal="center" vertical="center"/>
      <protection/>
    </xf>
    <xf numFmtId="0" fontId="55" fillId="0" borderId="65" xfId="59" applyFill="1" applyBorder="1" applyAlignment="1" applyProtection="1">
      <alignment horizontal="center" vertical="center"/>
      <protection/>
    </xf>
    <xf numFmtId="0" fontId="55" fillId="0" borderId="18" xfId="59" applyFill="1" applyBorder="1" applyAlignment="1" applyProtection="1">
      <alignment horizontal="center" vertical="center"/>
      <protection/>
    </xf>
    <xf numFmtId="0" fontId="32" fillId="0" borderId="19" xfId="65" applyFont="1" applyFill="1" applyBorder="1" applyAlignment="1" applyProtection="1">
      <alignment horizontal="right" vertical="center"/>
      <protection/>
    </xf>
    <xf numFmtId="0" fontId="32" fillId="0" borderId="65" xfId="65" applyFont="1" applyFill="1" applyBorder="1" applyAlignment="1" applyProtection="1">
      <alignment horizontal="right" vertical="center"/>
      <protection/>
    </xf>
    <xf numFmtId="0" fontId="40" fillId="16" borderId="33" xfId="65" applyFont="1" applyFill="1" applyBorder="1" applyAlignment="1" applyProtection="1">
      <alignment horizontal="center" vertical="center"/>
      <protection/>
    </xf>
    <xf numFmtId="0" fontId="40" fillId="16" borderId="75" xfId="65" applyFont="1" applyFill="1" applyBorder="1" applyAlignment="1" applyProtection="1">
      <alignment horizontal="center" vertical="center"/>
      <protection/>
    </xf>
    <xf numFmtId="0" fontId="40" fillId="16" borderId="57" xfId="65" applyFont="1" applyFill="1" applyBorder="1" applyAlignment="1" applyProtection="1">
      <alignment horizontal="center" vertical="center"/>
      <protection/>
    </xf>
    <xf numFmtId="0" fontId="9" fillId="19" borderId="43" xfId="0" applyFont="1" applyFill="1" applyBorder="1" applyAlignment="1" applyProtection="1">
      <alignment horizontal="center" vertical="center" wrapText="1"/>
      <protection/>
    </xf>
    <xf numFmtId="0" fontId="9" fillId="19" borderId="45" xfId="0" applyFont="1" applyFill="1" applyBorder="1" applyAlignment="1" applyProtection="1">
      <alignment horizontal="center" vertical="center" wrapText="1"/>
      <protection/>
    </xf>
    <xf numFmtId="0" fontId="65" fillId="17" borderId="64" xfId="0" applyFont="1" applyFill="1" applyBorder="1" applyAlignment="1" applyProtection="1">
      <alignment horizontal="center"/>
      <protection/>
    </xf>
    <xf numFmtId="0" fontId="65" fillId="17" borderId="32" xfId="0" applyFont="1" applyFill="1" applyBorder="1" applyAlignment="1" applyProtection="1">
      <alignment horizontal="center"/>
      <protection/>
    </xf>
    <xf numFmtId="0" fontId="55" fillId="0" borderId="72" xfId="59" applyBorder="1" applyAlignment="1" applyProtection="1">
      <alignment horizontal="center" vertical="center"/>
      <protection/>
    </xf>
    <xf numFmtId="0" fontId="55" fillId="0" borderId="61" xfId="59" applyBorder="1" applyAlignment="1" applyProtection="1">
      <alignment horizontal="center" vertical="center"/>
      <protection/>
    </xf>
    <xf numFmtId="0" fontId="68" fillId="0" borderId="49" xfId="0" applyFont="1" applyFill="1" applyBorder="1" applyAlignment="1" applyProtection="1">
      <alignment horizontal="center" vertical="center"/>
      <protection/>
    </xf>
    <xf numFmtId="0" fontId="68" fillId="0" borderId="46" xfId="0" applyFont="1" applyFill="1" applyBorder="1" applyAlignment="1" applyProtection="1">
      <alignment horizontal="center" vertical="center"/>
      <protection/>
    </xf>
    <xf numFmtId="0" fontId="63" fillId="0" borderId="56" xfId="0" applyFont="1" applyBorder="1" applyAlignment="1" applyProtection="1">
      <alignment horizontal="center" vertical="center" wrapText="1"/>
      <protection/>
    </xf>
    <xf numFmtId="0" fontId="41" fillId="16" borderId="33" xfId="65" applyFont="1" applyFill="1" applyBorder="1" applyAlignment="1" applyProtection="1">
      <alignment horizontal="center" vertical="center"/>
      <protection/>
    </xf>
    <xf numFmtId="0" fontId="41" fillId="16" borderId="75" xfId="65" applyFont="1" applyFill="1" applyBorder="1" applyAlignment="1" applyProtection="1">
      <alignment horizontal="center" vertical="center"/>
      <protection/>
    </xf>
    <xf numFmtId="0" fontId="41" fillId="16" borderId="57" xfId="65" applyFont="1" applyFill="1" applyBorder="1" applyAlignment="1" applyProtection="1">
      <alignment horizontal="center" vertical="center"/>
      <protection/>
    </xf>
    <xf numFmtId="0" fontId="32" fillId="0" borderId="33" xfId="65" applyFont="1" applyBorder="1" applyAlignment="1" applyProtection="1">
      <alignment horizontal="left" vertical="center" wrapText="1"/>
      <protection/>
    </xf>
    <xf numFmtId="0" fontId="32" fillId="0" borderId="75" xfId="65" applyFont="1" applyBorder="1" applyAlignment="1" applyProtection="1">
      <alignment horizontal="left" vertical="center" wrapText="1"/>
      <protection/>
    </xf>
    <xf numFmtId="0" fontId="32" fillId="0" borderId="57" xfId="65" applyFont="1" applyBorder="1" applyAlignment="1" applyProtection="1">
      <alignment horizontal="left" vertical="center" wrapText="1"/>
      <protection/>
    </xf>
    <xf numFmtId="0" fontId="70" fillId="0" borderId="19" xfId="61" applyFont="1" applyFill="1" applyBorder="1" applyAlignment="1" applyProtection="1">
      <alignment horizontal="center" vertical="center"/>
      <protection/>
    </xf>
    <xf numFmtId="0" fontId="70" fillId="0" borderId="65" xfId="61" applyFont="1" applyFill="1" applyBorder="1" applyAlignment="1" applyProtection="1">
      <alignment horizontal="center" vertical="center"/>
      <protection/>
    </xf>
    <xf numFmtId="0" fontId="70" fillId="0" borderId="18" xfId="61" applyFont="1" applyFill="1" applyBorder="1" applyAlignment="1" applyProtection="1">
      <alignment horizontal="center" vertical="center"/>
      <protection/>
    </xf>
    <xf numFmtId="0" fontId="43" fillId="0" borderId="20" xfId="65" applyFont="1" applyBorder="1" applyAlignment="1" applyProtection="1">
      <alignment horizontal="center" vertical="center" wrapText="1"/>
      <protection/>
    </xf>
    <xf numFmtId="0" fontId="43" fillId="0" borderId="36" xfId="65" applyFont="1" applyBorder="1" applyAlignment="1" applyProtection="1">
      <alignment horizontal="center" vertical="center" wrapText="1"/>
      <protection/>
    </xf>
    <xf numFmtId="0" fontId="43" fillId="0" borderId="22" xfId="65" applyFont="1" applyBorder="1" applyAlignment="1" applyProtection="1">
      <alignment horizontal="center" vertical="center" wrapText="1"/>
      <protection/>
    </xf>
    <xf numFmtId="0" fontId="43" fillId="0" borderId="28" xfId="65" applyFont="1" applyBorder="1" applyAlignment="1" applyProtection="1">
      <alignment horizontal="center" vertical="center" wrapText="1"/>
      <protection/>
    </xf>
    <xf numFmtId="0" fontId="43" fillId="0" borderId="24" xfId="65" applyFont="1" applyBorder="1" applyAlignment="1" applyProtection="1">
      <alignment horizontal="center" vertical="center" wrapText="1"/>
      <protection/>
    </xf>
    <xf numFmtId="0" fontId="43" fillId="0" borderId="41" xfId="65" applyFont="1" applyBorder="1" applyAlignment="1" applyProtection="1">
      <alignment horizontal="center" vertical="center" wrapText="1"/>
      <protection/>
    </xf>
    <xf numFmtId="0" fontId="32" fillId="0" borderId="36" xfId="65" applyFont="1" applyBorder="1" applyAlignment="1" applyProtection="1">
      <alignment horizontal="center" vertical="center" wrapText="1"/>
      <protection/>
    </xf>
    <xf numFmtId="0" fontId="32" fillId="0" borderId="28" xfId="65" applyFont="1" applyBorder="1" applyAlignment="1" applyProtection="1">
      <alignment horizontal="center" vertical="center" wrapText="1"/>
      <protection/>
    </xf>
    <xf numFmtId="0" fontId="32" fillId="0" borderId="41" xfId="65" applyFont="1" applyBorder="1" applyAlignment="1" applyProtection="1">
      <alignment horizontal="center" vertical="center" wrapText="1"/>
      <protection/>
    </xf>
    <xf numFmtId="0" fontId="63" fillId="10" borderId="33" xfId="0" applyFont="1" applyFill="1" applyBorder="1" applyAlignment="1" applyProtection="1">
      <alignment horizontal="center" vertical="center" wrapText="1"/>
      <protection/>
    </xf>
    <xf numFmtId="0" fontId="63" fillId="10" borderId="75" xfId="0" applyFont="1" applyFill="1" applyBorder="1" applyAlignment="1" applyProtection="1">
      <alignment horizontal="center" vertical="center" wrapText="1"/>
      <protection/>
    </xf>
    <xf numFmtId="0" fontId="66" fillId="0" borderId="56" xfId="0" applyFont="1" applyFill="1" applyBorder="1" applyAlignment="1" applyProtection="1">
      <alignment vertical="center"/>
      <protection/>
    </xf>
    <xf numFmtId="0" fontId="66" fillId="0" borderId="75" xfId="0" applyFont="1" applyFill="1" applyBorder="1" applyAlignment="1" applyProtection="1">
      <alignment vertical="center"/>
      <protection/>
    </xf>
    <xf numFmtId="0" fontId="66" fillId="0" borderId="57" xfId="0" applyFont="1" applyFill="1" applyBorder="1" applyAlignment="1" applyProtection="1">
      <alignment vertical="center"/>
      <protection/>
    </xf>
    <xf numFmtId="0" fontId="63" fillId="10" borderId="57" xfId="0" applyFont="1" applyFill="1" applyBorder="1" applyAlignment="1" applyProtection="1">
      <alignment horizontal="center" vertical="center" wrapText="1"/>
      <protection/>
    </xf>
    <xf numFmtId="0" fontId="63" fillId="10" borderId="51" xfId="0" applyFont="1" applyFill="1" applyBorder="1" applyAlignment="1" applyProtection="1">
      <alignment horizontal="center" vertical="center" wrapText="1"/>
      <protection/>
    </xf>
    <xf numFmtId="0" fontId="63" fillId="10" borderId="67" xfId="0" applyFont="1" applyFill="1" applyBorder="1" applyAlignment="1" applyProtection="1">
      <alignment horizontal="center" vertical="center" wrapText="1"/>
      <protection/>
    </xf>
    <xf numFmtId="0" fontId="63" fillId="10" borderId="50" xfId="0" applyFont="1" applyFill="1" applyBorder="1" applyAlignment="1" applyProtection="1">
      <alignment horizontal="center" vertical="center"/>
      <protection/>
    </xf>
    <xf numFmtId="0" fontId="0" fillId="0" borderId="77" xfId="0" applyBorder="1" applyAlignment="1" applyProtection="1">
      <alignment/>
      <protection/>
    </xf>
    <xf numFmtId="0" fontId="32" fillId="0" borderId="18" xfId="65" applyFont="1" applyFill="1" applyBorder="1" applyAlignment="1" applyProtection="1">
      <alignment horizontal="right" vertical="center"/>
      <protection/>
    </xf>
    <xf numFmtId="0" fontId="66" fillId="6" borderId="33" xfId="0" applyFont="1" applyFill="1" applyBorder="1" applyAlignment="1" applyProtection="1">
      <alignment horizontal="center"/>
      <protection/>
    </xf>
    <xf numFmtId="0" fontId="66" fillId="6" borderId="75" xfId="0" applyFont="1" applyFill="1" applyBorder="1" applyAlignment="1" applyProtection="1">
      <alignment horizontal="center"/>
      <protection/>
    </xf>
    <xf numFmtId="0" fontId="66" fillId="6" borderId="57" xfId="0" applyFont="1" applyFill="1" applyBorder="1" applyAlignment="1" applyProtection="1">
      <alignment horizontal="center"/>
      <protection/>
    </xf>
    <xf numFmtId="0" fontId="63" fillId="10" borderId="50" xfId="0" applyFont="1" applyFill="1" applyBorder="1" applyAlignment="1" applyProtection="1">
      <alignment horizontal="center" vertical="center" wrapText="1"/>
      <protection/>
    </xf>
    <xf numFmtId="0" fontId="63" fillId="10" borderId="77" xfId="0" applyFont="1" applyFill="1" applyBorder="1" applyAlignment="1" applyProtection="1">
      <alignment horizontal="center" vertical="center"/>
      <protection/>
    </xf>
    <xf numFmtId="0" fontId="63" fillId="10" borderId="13" xfId="0" applyFont="1" applyFill="1" applyBorder="1" applyAlignment="1" applyProtection="1">
      <alignment horizontal="center" vertical="center" wrapText="1"/>
      <protection/>
    </xf>
    <xf numFmtId="0" fontId="63" fillId="10" borderId="0" xfId="0" applyFont="1" applyFill="1" applyBorder="1" applyAlignment="1" applyProtection="1">
      <alignment horizontal="center" vertical="center" wrapText="1"/>
      <protection/>
    </xf>
    <xf numFmtId="0" fontId="63" fillId="10" borderId="14" xfId="0" applyFont="1" applyFill="1" applyBorder="1" applyAlignment="1" applyProtection="1">
      <alignment horizontal="center" vertical="center" wrapText="1"/>
      <protection/>
    </xf>
    <xf numFmtId="0" fontId="1" fillId="0" borderId="69" xfId="0" applyFont="1" applyFill="1" applyBorder="1" applyAlignment="1" applyProtection="1">
      <alignment horizontal="center" vertical="center"/>
      <protection/>
    </xf>
    <xf numFmtId="0" fontId="1" fillId="0" borderId="78" xfId="0" applyFont="1" applyFill="1" applyBorder="1" applyAlignment="1" applyProtection="1">
      <alignment horizontal="center" vertical="center"/>
      <protection/>
    </xf>
    <xf numFmtId="0" fontId="0" fillId="0" borderId="79" xfId="0" applyFont="1" applyFill="1" applyBorder="1" applyAlignment="1" applyProtection="1">
      <alignment horizontal="left" vertical="center" wrapText="1"/>
      <protection/>
    </xf>
    <xf numFmtId="0" fontId="0" fillId="0" borderId="80" xfId="0" applyFont="1" applyFill="1" applyBorder="1" applyAlignment="1" applyProtection="1">
      <alignment horizontal="left" vertical="center" wrapText="1"/>
      <protection/>
    </xf>
    <xf numFmtId="0" fontId="0" fillId="0" borderId="81" xfId="0" applyFont="1" applyFill="1" applyBorder="1" applyAlignment="1" applyProtection="1">
      <alignment horizontal="left" vertical="center" wrapText="1"/>
      <protection/>
    </xf>
    <xf numFmtId="0" fontId="0" fillId="0" borderId="58" xfId="0" applyFont="1" applyFill="1" applyBorder="1" applyAlignment="1" applyProtection="1">
      <alignment horizontal="left" vertical="center" wrapText="1"/>
      <protection/>
    </xf>
    <xf numFmtId="0" fontId="0" fillId="0" borderId="82"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72"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0" fillId="0" borderId="82" xfId="0" applyFont="1" applyFill="1" applyBorder="1" applyAlignment="1" applyProtection="1">
      <alignment vertical="center" wrapText="1"/>
      <protection/>
    </xf>
    <xf numFmtId="0" fontId="0" fillId="0" borderId="30" xfId="0" applyFont="1" applyFill="1" applyBorder="1" applyAlignment="1" applyProtection="1">
      <alignment vertical="center" wrapText="1"/>
      <protection/>
    </xf>
    <xf numFmtId="0" fontId="0" fillId="0" borderId="78" xfId="0" applyFont="1" applyFill="1" applyBorder="1" applyAlignment="1" applyProtection="1">
      <alignment horizontal="center" vertical="center"/>
      <protection/>
    </xf>
    <xf numFmtId="9" fontId="0" fillId="17" borderId="69" xfId="0" applyNumberFormat="1" applyFont="1" applyFill="1" applyBorder="1" applyAlignment="1" applyProtection="1">
      <alignment horizontal="center" vertical="center"/>
      <protection locked="0"/>
    </xf>
    <xf numFmtId="0" fontId="0" fillId="17" borderId="60" xfId="0" applyFont="1" applyFill="1" applyBorder="1" applyAlignment="1" applyProtection="1">
      <alignment horizontal="center" vertical="center"/>
      <protection locked="0"/>
    </xf>
    <xf numFmtId="9" fontId="0" fillId="17" borderId="83" xfId="0" applyNumberFormat="1" applyFont="1" applyFill="1" applyBorder="1" applyAlignment="1" applyProtection="1">
      <alignment horizontal="center" vertical="center"/>
      <protection locked="0"/>
    </xf>
    <xf numFmtId="0" fontId="55" fillId="0" borderId="13" xfId="59" applyFont="1" applyBorder="1" applyAlignment="1" applyProtection="1">
      <alignment horizontal="left" vertical="top" wrapText="1"/>
      <protection/>
    </xf>
    <xf numFmtId="0" fontId="55" fillId="0" borderId="0" xfId="59" applyFont="1" applyBorder="1" applyAlignment="1" applyProtection="1">
      <alignment horizontal="left" vertical="top" wrapText="1"/>
      <protection/>
    </xf>
    <xf numFmtId="0" fontId="55" fillId="0" borderId="14" xfId="59"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xf numFmtId="0" fontId="55" fillId="0" borderId="18" xfId="59" applyBorder="1" applyAlignment="1" applyProtection="1">
      <alignment horizontal="center"/>
      <protection/>
    </xf>
    <xf numFmtId="0" fontId="5" fillId="10" borderId="33" xfId="0" applyFont="1" applyFill="1" applyBorder="1" applyAlignment="1" applyProtection="1">
      <alignment horizontal="center"/>
      <protection/>
    </xf>
    <xf numFmtId="0" fontId="5" fillId="10" borderId="75" xfId="0" applyFont="1" applyFill="1" applyBorder="1" applyAlignment="1" applyProtection="1">
      <alignment horizontal="center"/>
      <protection/>
    </xf>
    <xf numFmtId="0" fontId="5" fillId="10" borderId="57" xfId="0" applyFont="1" applyFill="1" applyBorder="1" applyAlignment="1" applyProtection="1">
      <alignment horizontal="center"/>
      <protection/>
    </xf>
    <xf numFmtId="0" fontId="7" fillId="0" borderId="42" xfId="0" applyFont="1" applyFill="1" applyBorder="1" applyAlignment="1" applyProtection="1">
      <alignment horizontal="left"/>
      <protection/>
    </xf>
    <xf numFmtId="0" fontId="7" fillId="0" borderId="29" xfId="0" applyFont="1" applyFill="1" applyBorder="1" applyAlignment="1" applyProtection="1">
      <alignment horizontal="left"/>
      <protection/>
    </xf>
    <xf numFmtId="0" fontId="0" fillId="0" borderId="19" xfId="0" applyBorder="1" applyAlignment="1" applyProtection="1">
      <alignment horizontal="center"/>
      <protection/>
    </xf>
    <xf numFmtId="0" fontId="0" fillId="0" borderId="65" xfId="0" applyBorder="1" applyAlignment="1" applyProtection="1">
      <alignment horizontal="center"/>
      <protection/>
    </xf>
    <xf numFmtId="0" fontId="0" fillId="0" borderId="18" xfId="0" applyBorder="1" applyAlignment="1" applyProtection="1">
      <alignment horizontal="center"/>
      <protection/>
    </xf>
    <xf numFmtId="0" fontId="9" fillId="0" borderId="10"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0" fillId="0" borderId="83"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1" fontId="0" fillId="0" borderId="83" xfId="0" applyNumberFormat="1" applyFont="1" applyFill="1" applyBorder="1" applyAlignment="1" applyProtection="1">
      <alignment horizontal="center" vertical="center"/>
      <protection/>
    </xf>
    <xf numFmtId="1" fontId="0" fillId="0" borderId="69" xfId="0" applyNumberFormat="1" applyFont="1" applyFill="1" applyBorder="1" applyAlignment="1" applyProtection="1">
      <alignment horizontal="center" vertical="center"/>
      <protection/>
    </xf>
    <xf numFmtId="1" fontId="0" fillId="0" borderId="60" xfId="0" applyNumberFormat="1" applyFont="1" applyFill="1" applyBorder="1" applyAlignment="1" applyProtection="1">
      <alignment horizontal="center" vertical="center"/>
      <protection/>
    </xf>
    <xf numFmtId="0" fontId="1" fillId="33" borderId="79" xfId="0" applyFont="1" applyFill="1" applyBorder="1" applyAlignment="1" applyProtection="1">
      <alignment horizontal="left" vertical="center" wrapText="1"/>
      <protection/>
    </xf>
    <xf numFmtId="0" fontId="0" fillId="33" borderId="80" xfId="0" applyFont="1" applyFill="1" applyBorder="1" applyAlignment="1" applyProtection="1">
      <alignment/>
      <protection/>
    </xf>
    <xf numFmtId="0" fontId="0" fillId="33" borderId="81" xfId="0" applyFont="1" applyFill="1" applyBorder="1" applyAlignment="1" applyProtection="1">
      <alignment/>
      <protection/>
    </xf>
    <xf numFmtId="0" fontId="1" fillId="33" borderId="13" xfId="0" applyFont="1" applyFill="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3" xfId="0" applyFont="1" applyFill="1" applyBorder="1" applyAlignment="1" applyProtection="1">
      <alignment/>
      <protection/>
    </xf>
    <xf numFmtId="0" fontId="0" fillId="33" borderId="58" xfId="0" applyFont="1" applyFill="1" applyBorder="1" applyAlignment="1" applyProtection="1">
      <alignment/>
      <protection/>
    </xf>
    <xf numFmtId="0" fontId="0" fillId="33" borderId="82" xfId="0" applyFont="1" applyFill="1" applyBorder="1" applyAlignment="1" applyProtection="1">
      <alignment/>
      <protection/>
    </xf>
    <xf numFmtId="0" fontId="0" fillId="33" borderId="30" xfId="0" applyFont="1" applyFill="1" applyBorder="1" applyAlignment="1" applyProtection="1">
      <alignment/>
      <protection/>
    </xf>
    <xf numFmtId="0" fontId="55" fillId="0" borderId="13" xfId="59" applyFont="1" applyFill="1" applyBorder="1" applyAlignment="1" applyProtection="1">
      <alignment horizontal="left" vertical="center" wrapText="1"/>
      <protection/>
    </xf>
    <xf numFmtId="0" fontId="55" fillId="0" borderId="0" xfId="59" applyFont="1" applyFill="1" applyBorder="1" applyAlignment="1" applyProtection="1">
      <alignment horizontal="left" vertical="center" wrapText="1"/>
      <protection/>
    </xf>
    <xf numFmtId="0" fontId="55" fillId="0" borderId="14" xfId="59" applyFont="1" applyFill="1" applyBorder="1" applyAlignment="1" applyProtection="1">
      <alignment horizontal="left" vertical="center" wrapText="1"/>
      <protection/>
    </xf>
    <xf numFmtId="0" fontId="1" fillId="0" borderId="37" xfId="0" applyFont="1" applyFill="1" applyBorder="1" applyAlignment="1" applyProtection="1">
      <alignment horizontal="left" vertical="center" wrapText="1"/>
      <protection/>
    </xf>
    <xf numFmtId="0" fontId="1" fillId="0" borderId="65"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1" fontId="0" fillId="0" borderId="83" xfId="0" applyNumberFormat="1" applyFill="1" applyBorder="1" applyAlignment="1" applyProtection="1">
      <alignment horizontal="center" vertical="center"/>
      <protection/>
    </xf>
    <xf numFmtId="1" fontId="0" fillId="0" borderId="69" xfId="0" applyNumberFormat="1" applyFill="1" applyBorder="1" applyAlignment="1" applyProtection="1">
      <alignment horizontal="center" vertical="center"/>
      <protection/>
    </xf>
    <xf numFmtId="184" fontId="0" fillId="0" borderId="83" xfId="68" applyNumberFormat="1" applyFont="1" applyFill="1" applyBorder="1" applyAlignment="1" applyProtection="1">
      <alignment horizontal="center" vertical="center"/>
      <protection/>
    </xf>
    <xf numFmtId="184" fontId="0" fillId="0" borderId="69" xfId="68" applyNumberFormat="1" applyFont="1" applyFill="1" applyBorder="1" applyAlignment="1" applyProtection="1">
      <alignment horizontal="center" vertical="center"/>
      <protection/>
    </xf>
    <xf numFmtId="0" fontId="1" fillId="33" borderId="80" xfId="0" applyFont="1" applyFill="1" applyBorder="1" applyAlignment="1" applyProtection="1">
      <alignment horizontal="left" vertical="center" wrapText="1"/>
      <protection/>
    </xf>
    <xf numFmtId="0" fontId="1" fillId="33" borderId="81"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0" borderId="79" xfId="0" applyFont="1" applyFill="1" applyBorder="1" applyAlignment="1" applyProtection="1">
      <alignment horizontal="left" vertical="center" wrapText="1"/>
      <protection/>
    </xf>
    <xf numFmtId="0" fontId="6" fillId="0" borderId="80" xfId="0" applyFont="1" applyFill="1" applyBorder="1" applyAlignment="1" applyProtection="1">
      <alignment horizontal="left" vertical="center" wrapText="1"/>
      <protection/>
    </xf>
    <xf numFmtId="0" fontId="6" fillId="0" borderId="81"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1" fillId="0" borderId="79" xfId="0" applyFont="1" applyFill="1" applyBorder="1" applyAlignment="1" applyProtection="1">
      <alignment horizontal="left" vertical="center"/>
      <protection/>
    </xf>
    <xf numFmtId="0" fontId="1" fillId="0" borderId="80" xfId="0" applyFont="1" applyFill="1" applyBorder="1" applyAlignment="1" applyProtection="1">
      <alignment horizontal="left" vertical="center"/>
      <protection/>
    </xf>
    <xf numFmtId="0" fontId="1" fillId="0" borderId="81" xfId="0" applyFont="1" applyFill="1" applyBorder="1" applyAlignment="1" applyProtection="1">
      <alignment horizontal="left" vertical="center"/>
      <protection/>
    </xf>
    <xf numFmtId="0" fontId="1" fillId="0" borderId="58" xfId="0" applyFont="1" applyFill="1" applyBorder="1" applyAlignment="1" applyProtection="1">
      <alignment horizontal="left" vertical="center"/>
      <protection/>
    </xf>
    <xf numFmtId="0" fontId="1" fillId="0" borderId="82" xfId="0" applyFont="1" applyFill="1" applyBorder="1" applyAlignment="1" applyProtection="1">
      <alignment horizontal="left" vertical="center"/>
      <protection/>
    </xf>
    <xf numFmtId="0" fontId="1" fillId="0" borderId="30" xfId="0" applyFont="1" applyFill="1" applyBorder="1" applyAlignment="1" applyProtection="1">
      <alignment horizontal="left" vertical="center"/>
      <protection/>
    </xf>
    <xf numFmtId="0" fontId="1" fillId="0" borderId="10"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1" fillId="0" borderId="12" xfId="0" applyFont="1" applyFill="1" applyBorder="1" applyAlignment="1" applyProtection="1">
      <alignment horizontal="left" vertical="top" wrapText="1"/>
      <protection/>
    </xf>
    <xf numFmtId="0" fontId="1" fillId="0" borderId="13"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55" fillId="0" borderId="13" xfId="59" applyFont="1" applyBorder="1" applyAlignment="1" applyProtection="1">
      <alignment/>
      <protection/>
    </xf>
    <xf numFmtId="0" fontId="55" fillId="0" borderId="0" xfId="59" applyFont="1" applyBorder="1" applyAlignment="1" applyProtection="1">
      <alignment/>
      <protection/>
    </xf>
    <xf numFmtId="0" fontId="55" fillId="0" borderId="14" xfId="59" applyFont="1" applyBorder="1" applyAlignment="1" applyProtection="1">
      <alignment/>
      <protection/>
    </xf>
    <xf numFmtId="0" fontId="55" fillId="0" borderId="13" xfId="59"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14" xfId="0" applyFont="1" applyBorder="1" applyAlignment="1" applyProtection="1">
      <alignment horizontal="left" vertical="top"/>
      <protection/>
    </xf>
    <xf numFmtId="0" fontId="0" fillId="0" borderId="58" xfId="0" applyFont="1" applyBorder="1" applyAlignment="1" applyProtection="1">
      <alignment horizontal="center" vertical="top"/>
      <protection/>
    </xf>
    <xf numFmtId="0" fontId="0" fillId="0" borderId="82" xfId="0" applyFont="1" applyBorder="1" applyAlignment="1" applyProtection="1">
      <alignment horizontal="center" vertical="top"/>
      <protection/>
    </xf>
    <xf numFmtId="0" fontId="0" fillId="0" borderId="30" xfId="0" applyFont="1" applyBorder="1" applyAlignment="1" applyProtection="1">
      <alignment horizontal="center" vertical="top"/>
      <protection/>
    </xf>
    <xf numFmtId="177" fontId="0" fillId="33" borderId="83" xfId="0" applyNumberFormat="1" applyFill="1" applyBorder="1" applyAlignment="1" applyProtection="1">
      <alignment horizontal="center" vertical="center"/>
      <protection/>
    </xf>
    <xf numFmtId="177" fontId="0" fillId="33" borderId="60" xfId="0" applyNumberFormat="1" applyFill="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24" xfId="0" applyBorder="1" applyAlignment="1" applyProtection="1">
      <alignment horizontal="center" vertical="center"/>
      <protection/>
    </xf>
    <xf numFmtId="0" fontId="65" fillId="0" borderId="83" xfId="0" applyFont="1" applyBorder="1" applyAlignment="1" applyProtection="1">
      <alignment horizontal="center" vertical="center"/>
      <protection/>
    </xf>
    <xf numFmtId="0" fontId="65" fillId="0" borderId="69" xfId="0" applyFont="1" applyBorder="1" applyAlignment="1" applyProtection="1">
      <alignment horizontal="center" vertical="center"/>
      <protection/>
    </xf>
    <xf numFmtId="0" fontId="65" fillId="0" borderId="70" xfId="0" applyFont="1" applyBorder="1" applyAlignment="1" applyProtection="1">
      <alignment horizontal="center" vertical="center"/>
      <protection/>
    </xf>
    <xf numFmtId="0" fontId="0" fillId="0" borderId="61"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0" borderId="78" xfId="0" applyFont="1" applyBorder="1" applyAlignment="1" applyProtection="1">
      <alignment horizontal="left" vertical="center" wrapText="1"/>
      <protection/>
    </xf>
    <xf numFmtId="0" fontId="0" fillId="0" borderId="84" xfId="0" applyFont="1" applyBorder="1" applyAlignment="1" applyProtection="1">
      <alignment horizontal="left" vertical="center" wrapText="1"/>
      <protection/>
    </xf>
    <xf numFmtId="0" fontId="0" fillId="0" borderId="85"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8" fillId="0" borderId="79" xfId="59" applyFont="1" applyFill="1" applyBorder="1" applyAlignment="1" applyProtection="1">
      <alignment horizontal="left" vertical="center" wrapText="1"/>
      <protection/>
    </xf>
    <xf numFmtId="0" fontId="0" fillId="0" borderId="80" xfId="0" applyFont="1" applyBorder="1" applyAlignment="1" applyProtection="1">
      <alignment/>
      <protection/>
    </xf>
    <xf numFmtId="0" fontId="0" fillId="0" borderId="81"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58" xfId="0" applyFont="1" applyBorder="1" applyAlignment="1" applyProtection="1">
      <alignment/>
      <protection/>
    </xf>
    <xf numFmtId="0" fontId="0" fillId="0" borderId="82" xfId="0" applyFont="1" applyBorder="1" applyAlignment="1" applyProtection="1">
      <alignment/>
      <protection/>
    </xf>
    <xf numFmtId="0" fontId="0" fillId="0" borderId="30" xfId="0" applyFont="1" applyBorder="1" applyAlignment="1" applyProtection="1">
      <alignment/>
      <protection/>
    </xf>
    <xf numFmtId="193" fontId="0" fillId="33" borderId="18" xfId="0" applyNumberFormat="1" applyFont="1" applyFill="1" applyBorder="1" applyAlignment="1" applyProtection="1">
      <alignment/>
      <protection/>
    </xf>
    <xf numFmtId="9" fontId="0" fillId="33" borderId="54" xfId="68" applyFont="1" applyFill="1" applyBorder="1" applyAlignment="1" applyProtection="1">
      <alignment/>
      <protection/>
    </xf>
    <xf numFmtId="193" fontId="0" fillId="34" borderId="23" xfId="0" applyNumberFormat="1" applyFont="1" applyFill="1" applyBorder="1" applyAlignment="1" applyProtection="1">
      <alignment/>
      <protection/>
    </xf>
    <xf numFmtId="9" fontId="0" fillId="34" borderId="25" xfId="68" applyFont="1" applyFill="1" applyBorder="1"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Currency 3" xfId="50"/>
    <cellStyle name="Currency 5"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3" xfId="61"/>
    <cellStyle name="Input" xfId="62"/>
    <cellStyle name="Linked Cell" xfId="63"/>
    <cellStyle name="Neutral" xfId="64"/>
    <cellStyle name="Normal 2" xfId="65"/>
    <cellStyle name="Note" xfId="66"/>
    <cellStyle name="Output" xfId="67"/>
    <cellStyle name="Percent" xfId="68"/>
    <cellStyle name="Percent 3" xfId="69"/>
    <cellStyle name="Title" xfId="70"/>
    <cellStyle name="Total" xfId="71"/>
    <cellStyle name="Warning Text" xfId="72"/>
  </cellStyles>
  <dxfs count="3">
    <dxf>
      <font>
        <color auto="1"/>
      </font>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375"/>
          <c:w val="0.71675"/>
          <c:h val="0.89775"/>
        </c:manualLayout>
      </c:layout>
      <c:scatterChart>
        <c:scatterStyle val="lineMarker"/>
        <c:varyColors val="0"/>
        <c:ser>
          <c:idx val="1"/>
          <c:order val="0"/>
          <c:tx>
            <c:v>Your custom financed term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11"/>
            <c:spPr>
              <a:solidFill>
                <a:srgbClr val="993366"/>
              </a:solidFill>
              <a:ln>
                <a:solidFill>
                  <a:srgbClr val="993366"/>
                </a:solidFill>
              </a:ln>
            </c:spPr>
          </c:marker>
          <c:xVal>
            <c:numRef>
              <c:f>'4.Executive Summary'!$D$12</c:f>
              <c:numCache/>
            </c:numRef>
          </c:xVal>
          <c:yVal>
            <c:numRef>
              <c:f>'4.Executive Summary'!$D$13</c:f>
              <c:numCache/>
            </c:numRef>
          </c:yVal>
          <c:smooth val="0"/>
        </c:ser>
        <c:axId val="28861426"/>
        <c:axId val="58426243"/>
      </c:scatterChart>
      <c:scatterChart>
        <c:scatterStyle val="smoothMarker"/>
        <c:varyColors val="0"/>
        <c:ser>
          <c:idx val="0"/>
          <c:order val="1"/>
          <c:tx>
            <c:v>Default terms (multiple of 5-years)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'4.Executive Summary'!$E$12:$L$12</c:f>
              <c:numCache/>
            </c:numRef>
          </c:xVal>
          <c:yVal>
            <c:numRef>
              <c:f>'4.Executive Summary'!$E$13:$L$13</c:f>
              <c:numCache/>
            </c:numRef>
          </c:yVal>
          <c:smooth val="1"/>
        </c:ser>
        <c:axId val="28861426"/>
        <c:axId val="58426243"/>
      </c:scatterChart>
      <c:catAx>
        <c:axId val="28861426"/>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12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426243"/>
        <c:crosses val="autoZero"/>
        <c:auto val="1"/>
        <c:lblOffset val="100"/>
        <c:noMultiLvlLbl val="0"/>
      </c:catAx>
      <c:valAx>
        <c:axId val="5842624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LCOE ($CAD/KWh)</a:t>
                </a:r>
              </a:p>
            </c:rich>
          </c:tx>
          <c:layout>
            <c:manualLayout>
              <c:xMode val="factor"/>
              <c:yMode val="factor"/>
              <c:x val="-0.0002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61426"/>
        <c:crosses val="autoZero"/>
        <c:crossBetween val="between"/>
        <c:dispUnits/>
      </c:valAx>
      <c:spPr>
        <a:solidFill>
          <a:srgbClr val="FFFFFF"/>
        </a:solidFill>
        <a:ln w="3175">
          <a:noFill/>
        </a:ln>
      </c:spPr>
    </c:plotArea>
    <c:legend>
      <c:legendPos val="r"/>
      <c:layout>
        <c:manualLayout>
          <c:xMode val="edge"/>
          <c:yMode val="edge"/>
          <c:x val="0.75925"/>
          <c:y val="0.38525"/>
          <c:w val="0.23625"/>
          <c:h val="0.21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1"/>
          <c:w val="0.69275"/>
          <c:h val="0.93625"/>
        </c:manualLayout>
      </c:layout>
      <c:barChart>
        <c:barDir val="col"/>
        <c:grouping val="clustered"/>
        <c:varyColors val="0"/>
        <c:ser>
          <c:idx val="0"/>
          <c:order val="0"/>
          <c:tx>
            <c:v>Default terms (multiples of 5-years)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'4.Executive Summary'!$E$31:$L$31</c:f>
              <c:numCache/>
            </c:numRef>
          </c:cat>
          <c:val>
            <c:numRef>
              <c:f>'4.Executive Summary'!$E$32:$L$32</c:f>
              <c:numCache/>
            </c:numRef>
          </c:val>
        </c:ser>
        <c:overlap val="-100"/>
        <c:gapWidth val="211"/>
        <c:axId val="56074140"/>
        <c:axId val="34905213"/>
      </c:barChart>
      <c:scatterChart>
        <c:scatterStyle val="smoothMarker"/>
        <c:varyColors val="0"/>
        <c:ser>
          <c:idx val="1"/>
          <c:order val="1"/>
          <c:tx>
            <c:v>Your custom financied term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'4.Executive Summary'!$D$37:$D$44</c:f>
              <c:numCache/>
            </c:numRef>
          </c:xVal>
          <c:yVal>
            <c:numRef>
              <c:f>'4.Executive Summary'!$E$37:$E$44</c:f>
              <c:numCache/>
            </c:numRef>
          </c:yVal>
          <c:smooth val="1"/>
        </c:ser>
        <c:axId val="45711462"/>
        <c:axId val="8749975"/>
      </c:scatterChart>
      <c:catAx>
        <c:axId val="56074140"/>
        <c:scaling>
          <c:orientation val="minMax"/>
        </c:scaling>
        <c:axPos val="b"/>
        <c:title>
          <c:tx>
            <c:rich>
              <a:bodyPr vert="horz" rot="0" anchor="ctr"/>
              <a:lstStyle/>
              <a:p>
                <a:pPr algn="ctr">
                  <a:defRPr/>
                </a:pPr>
                <a:r>
                  <a:rPr lang="en-US" cap="none" sz="1200" b="1" i="0" u="none" baseline="0">
                    <a:solidFill>
                      <a:srgbClr val="000000"/>
                    </a:solidFill>
                    <a:latin typeface="Calibri"/>
                    <a:ea typeface="Calibri"/>
                    <a:cs typeface="Calibri"/>
                  </a:rPr>
                  <a:t>Loan term (years)</a:t>
                </a:r>
              </a:p>
            </c:rich>
          </c:tx>
          <c:layout>
            <c:manualLayout>
              <c:xMode val="factor"/>
              <c:yMode val="factor"/>
              <c:x val="0.0057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4905213"/>
        <c:crossesAt val="0"/>
        <c:auto val="1"/>
        <c:lblOffset val="100"/>
        <c:tickLblSkip val="1"/>
        <c:noMultiLvlLbl val="0"/>
      </c:catAx>
      <c:valAx>
        <c:axId val="3490521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Total project cost over 40 years (PV dollars)</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74140"/>
        <c:crossesAt val="1"/>
        <c:crossBetween val="between"/>
        <c:dispUnits/>
      </c:valAx>
      <c:valAx>
        <c:axId val="45711462"/>
        <c:scaling>
          <c:orientation val="minMax"/>
          <c:max val="45"/>
        </c:scaling>
        <c:axPos val="b"/>
        <c:delete val="0"/>
        <c:numFmt formatCode="General" sourceLinked="1"/>
        <c:majorTickMark val="none"/>
        <c:minorTickMark val="none"/>
        <c:tickLblPos val="none"/>
        <c:spPr>
          <a:ln w="3175">
            <a:solidFill>
              <a:srgbClr val="808080"/>
            </a:solidFill>
          </a:ln>
        </c:spPr>
        <c:crossAx val="8749975"/>
        <c:crossesAt val="0"/>
        <c:crossBetween val="midCat"/>
        <c:dispUnits/>
      </c:valAx>
      <c:valAx>
        <c:axId val="8749975"/>
        <c:scaling>
          <c:orientation val="minMax"/>
          <c:max val="60000"/>
        </c:scaling>
        <c:axPos val="l"/>
        <c:delete val="1"/>
        <c:majorTickMark val="out"/>
        <c:minorTickMark val="none"/>
        <c:tickLblPos val="none"/>
        <c:crossAx val="45711462"/>
        <c:crossesAt val="0"/>
        <c:crossBetween val="midCat"/>
        <c:dispUnits/>
        <c:majorUnit val="10000"/>
      </c:valAx>
      <c:spPr>
        <a:solidFill>
          <a:srgbClr val="FFFFFF"/>
        </a:solidFill>
        <a:ln w="3175">
          <a:noFill/>
        </a:ln>
      </c:spPr>
    </c:plotArea>
    <c:legend>
      <c:legendPos val="r"/>
      <c:layout>
        <c:manualLayout>
          <c:xMode val="edge"/>
          <c:yMode val="edge"/>
          <c:x val="0.75275"/>
          <c:y val="0.4145"/>
          <c:w val="0.24375"/>
          <c:h val="0.15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1085850</xdr:colOff>
      <xdr:row>37</xdr:row>
      <xdr:rowOff>123825</xdr:rowOff>
    </xdr:from>
    <xdr:to>
      <xdr:col>10</xdr:col>
      <xdr:colOff>523875</xdr:colOff>
      <xdr:row>48</xdr:row>
      <xdr:rowOff>38100</xdr:rowOff>
    </xdr:to>
    <xdr:pic>
      <xdr:nvPicPr>
        <xdr:cNvPr id="1" name="Picture 153"/>
        <xdr:cNvPicPr preferRelativeResize="1">
          <a:picLocks noChangeAspect="1"/>
        </xdr:cNvPicPr>
      </xdr:nvPicPr>
      <xdr:blipFill>
        <a:blip r:embed="rId1"/>
        <a:stretch>
          <a:fillRect/>
        </a:stretch>
      </xdr:blipFill>
      <xdr:spPr>
        <a:xfrm>
          <a:off x="1466850" y="9648825"/>
          <a:ext cx="8839200" cy="2009775"/>
        </a:xfrm>
        <a:prstGeom prst="rect">
          <a:avLst/>
        </a:prstGeom>
        <a:noFill/>
        <a:ln w="9525" cmpd="sng">
          <a:noFill/>
        </a:ln>
      </xdr:spPr>
    </xdr:pic>
    <xdr:clientData/>
  </xdr:twoCellAnchor>
  <xdr:twoCellAnchor editAs="oneCell">
    <xdr:from>
      <xdr:col>2</xdr:col>
      <xdr:colOff>1123950</xdr:colOff>
      <xdr:row>50</xdr:row>
      <xdr:rowOff>133350</xdr:rowOff>
    </xdr:from>
    <xdr:to>
      <xdr:col>10</xdr:col>
      <xdr:colOff>676275</xdr:colOff>
      <xdr:row>65</xdr:row>
      <xdr:rowOff>19050</xdr:rowOff>
    </xdr:to>
    <xdr:pic>
      <xdr:nvPicPr>
        <xdr:cNvPr id="2" name="Picture 154"/>
        <xdr:cNvPicPr preferRelativeResize="1">
          <a:picLocks noChangeAspect="1"/>
        </xdr:cNvPicPr>
      </xdr:nvPicPr>
      <xdr:blipFill>
        <a:blip r:embed="rId2"/>
        <a:stretch>
          <a:fillRect/>
        </a:stretch>
      </xdr:blipFill>
      <xdr:spPr>
        <a:xfrm>
          <a:off x="1504950" y="12353925"/>
          <a:ext cx="8953500" cy="274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14</xdr:row>
      <xdr:rowOff>85725</xdr:rowOff>
    </xdr:from>
    <xdr:to>
      <xdr:col>11</xdr:col>
      <xdr:colOff>828675</xdr:colOff>
      <xdr:row>29</xdr:row>
      <xdr:rowOff>66675</xdr:rowOff>
    </xdr:to>
    <xdr:graphicFrame>
      <xdr:nvGraphicFramePr>
        <xdr:cNvPr id="1" name="Chart 2"/>
        <xdr:cNvGraphicFramePr/>
      </xdr:nvGraphicFramePr>
      <xdr:xfrm>
        <a:off x="361950" y="2952750"/>
        <a:ext cx="10687050" cy="240982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34</xdr:row>
      <xdr:rowOff>9525</xdr:rowOff>
    </xdr:from>
    <xdr:to>
      <xdr:col>11</xdr:col>
      <xdr:colOff>838200</xdr:colOff>
      <xdr:row>54</xdr:row>
      <xdr:rowOff>9525</xdr:rowOff>
    </xdr:to>
    <xdr:graphicFrame>
      <xdr:nvGraphicFramePr>
        <xdr:cNvPr id="2" name="Chart 1"/>
        <xdr:cNvGraphicFramePr/>
      </xdr:nvGraphicFramePr>
      <xdr:xfrm>
        <a:off x="381000" y="6219825"/>
        <a:ext cx="10677525" cy="3257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16</xdr:row>
      <xdr:rowOff>85725</xdr:rowOff>
    </xdr:from>
    <xdr:to>
      <xdr:col>14</xdr:col>
      <xdr:colOff>447675</xdr:colOff>
      <xdr:row>16</xdr:row>
      <xdr:rowOff>2628900</xdr:rowOff>
    </xdr:to>
    <xdr:pic>
      <xdr:nvPicPr>
        <xdr:cNvPr id="1" name="Picture 2"/>
        <xdr:cNvPicPr preferRelativeResize="1">
          <a:picLocks noChangeAspect="1"/>
        </xdr:cNvPicPr>
      </xdr:nvPicPr>
      <xdr:blipFill>
        <a:blip r:embed="rId1"/>
        <a:srcRect l="-1562" t="640" r="46873" b="13781"/>
        <a:stretch>
          <a:fillRect/>
        </a:stretch>
      </xdr:blipFill>
      <xdr:spPr>
        <a:xfrm>
          <a:off x="5419725" y="3486150"/>
          <a:ext cx="3333750" cy="25431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propedia.org/Users\Matt\Dropbox\Green%20IT\ECM001%20-%20Double%20sided%20printing\ECM001%20-%20Double%20sided%20prin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5.Projected Savings"/>
      <sheetName val="6.Assumptions &amp; References"/>
    </sheetNames>
    <sheetDataSet>
      <sheetData sheetId="0">
        <row r="10">
          <cell r="C10" t="str">
            <v>This template last modified on:</v>
          </cell>
        </row>
      </sheetData>
      <sheetData sheetId="2">
        <row r="13">
          <cell r="G13">
            <v>100000</v>
          </cell>
          <cell r="H13">
            <v>100000</v>
          </cell>
          <cell r="I13">
            <v>100000</v>
          </cell>
          <cell r="J13">
            <v>100000</v>
          </cell>
          <cell r="K13">
            <v>100000</v>
          </cell>
          <cell r="L13">
            <v>100000</v>
          </cell>
        </row>
        <row r="14">
          <cell r="G14">
            <v>0.1</v>
          </cell>
          <cell r="H14">
            <v>0.7</v>
          </cell>
          <cell r="I14">
            <v>0.7</v>
          </cell>
          <cell r="J14">
            <v>0.7</v>
          </cell>
          <cell r="K14">
            <v>0.7</v>
          </cell>
          <cell r="L14">
            <v>0.7</v>
          </cell>
        </row>
      </sheetData>
      <sheetData sheetId="4">
        <row r="24">
          <cell r="I24">
            <v>97500</v>
          </cell>
          <cell r="J24">
            <v>82500</v>
          </cell>
          <cell r="K24">
            <v>82500</v>
          </cell>
          <cell r="L24">
            <v>82500</v>
          </cell>
          <cell r="M24">
            <v>82500</v>
          </cell>
          <cell r="N24">
            <v>82500</v>
          </cell>
        </row>
        <row r="33">
          <cell r="I33">
            <v>350</v>
          </cell>
        </row>
        <row r="65">
          <cell r="J65">
            <v>200.10227402550004</v>
          </cell>
          <cell r="K65">
            <v>200.10227402550004</v>
          </cell>
          <cell r="L65">
            <v>200.10227402550004</v>
          </cell>
          <cell r="M65">
            <v>200.10227402550004</v>
          </cell>
          <cell r="N65">
            <v>200.10227402550004</v>
          </cell>
        </row>
        <row r="66">
          <cell r="J66">
            <v>200.10227402550004</v>
          </cell>
          <cell r="K66">
            <v>400.2045480510001</v>
          </cell>
          <cell r="L66">
            <v>600.3068220765001</v>
          </cell>
          <cell r="M66">
            <v>800.4090961020001</v>
          </cell>
          <cell r="N66">
            <v>1000.5113701275002</v>
          </cell>
        </row>
      </sheetData>
      <sheetData sheetId="5">
        <row r="12">
          <cell r="D12">
            <v>0.01</v>
          </cell>
        </row>
        <row r="24">
          <cell r="D24">
            <v>0.5</v>
          </cell>
        </row>
        <row r="28">
          <cell r="D28">
            <v>0.0133401516017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rel.gov/analysis/sam/" TargetMode="External" /><Relationship Id="rId2" Type="http://schemas.openxmlformats.org/officeDocument/2006/relationships/hyperlink" Target="doi:%20http://dx.doi.org/10.1016/j.rser.2011.07.104" TargetMode="External" /><Relationship Id="rId3" Type="http://schemas.openxmlformats.org/officeDocument/2006/relationships/hyperlink" Target="http://hdl.handle.net/1974/6879" TargetMode="External" /><Relationship Id="rId4" Type="http://schemas.openxmlformats.org/officeDocument/2006/relationships/oleObject" Target="../embeddings/oleObject_5_0.bin" /><Relationship Id="rId5" Type="http://schemas.openxmlformats.org/officeDocument/2006/relationships/oleObject" Target="../embeddings/oleObject_5_1.bin" /><Relationship Id="rId6" Type="http://schemas.openxmlformats.org/officeDocument/2006/relationships/vmlDrawing" Target="../drawings/vmlDrawing1.vml" /><Relationship Id="rId7" Type="http://schemas.openxmlformats.org/officeDocument/2006/relationships/drawing" Target="../drawings/drawing3.xml" /><Relationship Id="rId8"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51"/>
  <sheetViews>
    <sheetView zoomScalePageLayoutView="0" workbookViewId="0" topLeftCell="A1">
      <selection activeCell="V8" sqref="V8"/>
    </sheetView>
  </sheetViews>
  <sheetFormatPr defaultColWidth="9.140625" defaultRowHeight="15"/>
  <cols>
    <col min="1" max="2" width="2.8515625" style="1" customWidth="1"/>
    <col min="3" max="7" width="9.57421875" style="1" customWidth="1"/>
    <col min="8" max="8" width="11.57421875" style="1" bestFit="1" customWidth="1"/>
    <col min="9" max="11" width="9.57421875" style="1" customWidth="1"/>
    <col min="12" max="12" width="2.8515625" style="1" customWidth="1"/>
    <col min="13" max="16384" width="9.140625" style="1" customWidth="1"/>
  </cols>
  <sheetData>
    <row r="1" ht="15" customHeight="1" thickBot="1"/>
    <row r="2" spans="2:12" ht="15.75" thickBot="1">
      <c r="B2" s="2"/>
      <c r="C2" s="3"/>
      <c r="D2" s="3"/>
      <c r="E2" s="3"/>
      <c r="F2" s="3"/>
      <c r="G2" s="3"/>
      <c r="H2" s="3"/>
      <c r="I2" s="3"/>
      <c r="J2" s="3"/>
      <c r="K2" s="3"/>
      <c r="L2" s="4"/>
    </row>
    <row r="3" spans="2:12" ht="22.5" customHeight="1">
      <c r="B3" s="248"/>
      <c r="C3" s="307" t="s">
        <v>54</v>
      </c>
      <c r="D3" s="308"/>
      <c r="E3" s="308"/>
      <c r="F3" s="308"/>
      <c r="G3" s="308"/>
      <c r="H3" s="308"/>
      <c r="I3" s="308"/>
      <c r="J3" s="308"/>
      <c r="K3" s="309"/>
      <c r="L3" s="249"/>
    </row>
    <row r="4" spans="2:12" ht="22.5" customHeight="1" thickBot="1">
      <c r="B4" s="248"/>
      <c r="C4" s="310" t="s">
        <v>63</v>
      </c>
      <c r="D4" s="311"/>
      <c r="E4" s="311"/>
      <c r="F4" s="311"/>
      <c r="G4" s="311"/>
      <c r="H4" s="311"/>
      <c r="I4" s="311"/>
      <c r="J4" s="311"/>
      <c r="K4" s="312"/>
      <c r="L4" s="249"/>
    </row>
    <row r="5" spans="2:12" ht="15">
      <c r="B5" s="248"/>
      <c r="C5" s="7"/>
      <c r="D5" s="7"/>
      <c r="E5" s="7"/>
      <c r="F5" s="7"/>
      <c r="G5" s="7"/>
      <c r="H5" s="7"/>
      <c r="I5" s="7"/>
      <c r="J5" s="7"/>
      <c r="K5" s="7"/>
      <c r="L5" s="249"/>
    </row>
    <row r="6" spans="2:12" ht="15">
      <c r="B6" s="8"/>
      <c r="C6" s="313" t="s">
        <v>55</v>
      </c>
      <c r="D6" s="314"/>
      <c r="E6" s="314"/>
      <c r="F6" s="314"/>
      <c r="G6" s="314"/>
      <c r="H6" s="315">
        <f ca="1">TODAY()</f>
        <v>41303</v>
      </c>
      <c r="I6" s="316"/>
      <c r="J6" s="316"/>
      <c r="K6" s="317"/>
      <c r="L6" s="9"/>
    </row>
    <row r="7" spans="2:12" ht="15.75" thickBot="1">
      <c r="B7" s="8"/>
      <c r="C7" s="10"/>
      <c r="D7" s="10"/>
      <c r="E7" s="10"/>
      <c r="F7" s="10"/>
      <c r="G7" s="10"/>
      <c r="H7" s="10"/>
      <c r="I7" s="10"/>
      <c r="J7" s="10"/>
      <c r="K7" s="10"/>
      <c r="L7" s="9"/>
    </row>
    <row r="8" spans="2:12" ht="15" customHeight="1">
      <c r="B8" s="8"/>
      <c r="C8" s="318" t="s">
        <v>56</v>
      </c>
      <c r="D8" s="319"/>
      <c r="E8" s="319"/>
      <c r="F8" s="319"/>
      <c r="G8" s="319"/>
      <c r="H8" s="319"/>
      <c r="I8" s="319"/>
      <c r="J8" s="319"/>
      <c r="K8" s="320"/>
      <c r="L8" s="9"/>
    </row>
    <row r="9" spans="2:12" ht="15">
      <c r="B9" s="8"/>
      <c r="C9" s="321"/>
      <c r="D9" s="322"/>
      <c r="E9" s="322"/>
      <c r="F9" s="322"/>
      <c r="G9" s="322"/>
      <c r="H9" s="322"/>
      <c r="I9" s="322"/>
      <c r="J9" s="322"/>
      <c r="K9" s="323"/>
      <c r="L9" s="9"/>
    </row>
    <row r="10" spans="2:12" ht="15.75" thickBot="1">
      <c r="B10" s="8"/>
      <c r="C10" s="324" t="s">
        <v>57</v>
      </c>
      <c r="D10" s="325"/>
      <c r="E10" s="325"/>
      <c r="F10" s="325"/>
      <c r="G10" s="325"/>
      <c r="H10" s="326">
        <v>40937</v>
      </c>
      <c r="I10" s="327"/>
      <c r="J10" s="327"/>
      <c r="K10" s="328"/>
      <c r="L10" s="9"/>
    </row>
    <row r="11" spans="2:12" ht="15.75" customHeight="1" thickBot="1">
      <c r="B11" s="8"/>
      <c r="C11" s="11"/>
      <c r="D11" s="11"/>
      <c r="E11" s="11"/>
      <c r="F11" s="11"/>
      <c r="G11" s="11"/>
      <c r="H11" s="12"/>
      <c r="I11" s="13"/>
      <c r="J11" s="13"/>
      <c r="K11" s="13"/>
      <c r="L11" s="9"/>
    </row>
    <row r="12" spans="2:12" ht="15">
      <c r="B12" s="8"/>
      <c r="C12" s="275" t="s">
        <v>58</v>
      </c>
      <c r="D12" s="276"/>
      <c r="E12" s="276"/>
      <c r="F12" s="276"/>
      <c r="G12" s="276"/>
      <c r="H12" s="276"/>
      <c r="I12" s="276"/>
      <c r="J12" s="276"/>
      <c r="K12" s="277"/>
      <c r="L12" s="9"/>
    </row>
    <row r="13" spans="2:12" ht="22.5" customHeight="1">
      <c r="B13" s="8"/>
      <c r="C13" s="278"/>
      <c r="D13" s="279"/>
      <c r="E13" s="279"/>
      <c r="F13" s="279"/>
      <c r="G13" s="279"/>
      <c r="H13" s="279"/>
      <c r="I13" s="279"/>
      <c r="J13" s="279"/>
      <c r="K13" s="280"/>
      <c r="L13" s="9"/>
    </row>
    <row r="14" spans="2:12" ht="15" customHeight="1">
      <c r="B14" s="8"/>
      <c r="C14" s="278"/>
      <c r="D14" s="279"/>
      <c r="E14" s="279"/>
      <c r="F14" s="279"/>
      <c r="G14" s="279"/>
      <c r="H14" s="279"/>
      <c r="I14" s="279"/>
      <c r="J14" s="279"/>
      <c r="K14" s="280"/>
      <c r="L14" s="9"/>
    </row>
    <row r="15" spans="2:12" ht="15" customHeight="1">
      <c r="B15" s="8"/>
      <c r="C15" s="278"/>
      <c r="D15" s="279"/>
      <c r="E15" s="279"/>
      <c r="F15" s="279"/>
      <c r="G15" s="279"/>
      <c r="H15" s="279"/>
      <c r="I15" s="279"/>
      <c r="J15" s="279"/>
      <c r="K15" s="280"/>
      <c r="L15" s="9"/>
    </row>
    <row r="16" spans="2:12" ht="15" customHeight="1">
      <c r="B16" s="8"/>
      <c r="C16" s="278"/>
      <c r="D16" s="279"/>
      <c r="E16" s="279"/>
      <c r="F16" s="279"/>
      <c r="G16" s="279"/>
      <c r="H16" s="279"/>
      <c r="I16" s="279"/>
      <c r="J16" s="279"/>
      <c r="K16" s="280"/>
      <c r="L16" s="9"/>
    </row>
    <row r="17" spans="2:12" ht="15" customHeight="1">
      <c r="B17" s="8"/>
      <c r="C17" s="278"/>
      <c r="D17" s="279"/>
      <c r="E17" s="279"/>
      <c r="F17" s="279"/>
      <c r="G17" s="279"/>
      <c r="H17" s="279"/>
      <c r="I17" s="279"/>
      <c r="J17" s="279"/>
      <c r="K17" s="280"/>
      <c r="L17" s="9"/>
    </row>
    <row r="18" spans="2:12" ht="15" customHeight="1">
      <c r="B18" s="8"/>
      <c r="C18" s="278"/>
      <c r="D18" s="279"/>
      <c r="E18" s="279"/>
      <c r="F18" s="279"/>
      <c r="G18" s="279"/>
      <c r="H18" s="279"/>
      <c r="I18" s="279"/>
      <c r="J18" s="279"/>
      <c r="K18" s="280"/>
      <c r="L18" s="9"/>
    </row>
    <row r="19" spans="2:12" ht="15" customHeight="1">
      <c r="B19" s="8"/>
      <c r="C19" s="278"/>
      <c r="D19" s="279"/>
      <c r="E19" s="279"/>
      <c r="F19" s="279"/>
      <c r="G19" s="279"/>
      <c r="H19" s="279"/>
      <c r="I19" s="279"/>
      <c r="J19" s="279"/>
      <c r="K19" s="280"/>
      <c r="L19" s="9"/>
    </row>
    <row r="20" spans="2:12" ht="15" customHeight="1">
      <c r="B20" s="8"/>
      <c r="C20" s="278"/>
      <c r="D20" s="279"/>
      <c r="E20" s="279"/>
      <c r="F20" s="279"/>
      <c r="G20" s="279"/>
      <c r="H20" s="279"/>
      <c r="I20" s="279"/>
      <c r="J20" s="279"/>
      <c r="K20" s="280"/>
      <c r="L20" s="9"/>
    </row>
    <row r="21" spans="2:12" ht="15" customHeight="1">
      <c r="B21" s="8"/>
      <c r="C21" s="278"/>
      <c r="D21" s="279"/>
      <c r="E21" s="279"/>
      <c r="F21" s="279"/>
      <c r="G21" s="279"/>
      <c r="H21" s="279"/>
      <c r="I21" s="279"/>
      <c r="J21" s="279"/>
      <c r="K21" s="280"/>
      <c r="L21" s="9"/>
    </row>
    <row r="22" spans="2:12" ht="15" customHeight="1">
      <c r="B22" s="8"/>
      <c r="C22" s="278"/>
      <c r="D22" s="279"/>
      <c r="E22" s="279"/>
      <c r="F22" s="279"/>
      <c r="G22" s="279"/>
      <c r="H22" s="279"/>
      <c r="I22" s="279"/>
      <c r="J22" s="279"/>
      <c r="K22" s="280"/>
      <c r="L22" s="9"/>
    </row>
    <row r="23" spans="2:12" ht="15" customHeight="1">
      <c r="B23" s="8"/>
      <c r="C23" s="278"/>
      <c r="D23" s="279"/>
      <c r="E23" s="279"/>
      <c r="F23" s="279"/>
      <c r="G23" s="279"/>
      <c r="H23" s="279"/>
      <c r="I23" s="279"/>
      <c r="J23" s="279"/>
      <c r="K23" s="280"/>
      <c r="L23" s="9"/>
    </row>
    <row r="24" spans="2:12" ht="15" customHeight="1" thickBot="1">
      <c r="B24" s="8"/>
      <c r="C24" s="281"/>
      <c r="D24" s="282"/>
      <c r="E24" s="282"/>
      <c r="F24" s="282"/>
      <c r="G24" s="282"/>
      <c r="H24" s="282"/>
      <c r="I24" s="282"/>
      <c r="J24" s="282"/>
      <c r="K24" s="283"/>
      <c r="L24" s="9"/>
    </row>
    <row r="25" spans="2:12" ht="15" customHeight="1" thickBot="1">
      <c r="B25" s="8"/>
      <c r="C25" s="11"/>
      <c r="D25" s="11"/>
      <c r="E25" s="11"/>
      <c r="F25" s="11"/>
      <c r="G25" s="11"/>
      <c r="H25" s="12"/>
      <c r="I25" s="13"/>
      <c r="J25" s="13"/>
      <c r="K25" s="13"/>
      <c r="L25" s="9"/>
    </row>
    <row r="26" spans="2:12" ht="15" customHeight="1">
      <c r="B26" s="8"/>
      <c r="C26" s="11"/>
      <c r="D26" s="284" t="s">
        <v>4</v>
      </c>
      <c r="E26" s="285"/>
      <c r="F26" s="290" t="s">
        <v>5</v>
      </c>
      <c r="G26" s="291"/>
      <c r="H26" s="292"/>
      <c r="I26" s="293" t="s">
        <v>49</v>
      </c>
      <c r="J26" s="294"/>
      <c r="K26" s="14"/>
      <c r="L26" s="9"/>
    </row>
    <row r="27" spans="2:12" ht="15" customHeight="1">
      <c r="B27" s="8"/>
      <c r="C27" s="11"/>
      <c r="D27" s="286"/>
      <c r="E27" s="287"/>
      <c r="F27" s="295" t="s">
        <v>6</v>
      </c>
      <c r="G27" s="296"/>
      <c r="H27" s="297"/>
      <c r="I27" s="298" t="s">
        <v>50</v>
      </c>
      <c r="J27" s="299"/>
      <c r="K27" s="14"/>
      <c r="L27" s="9"/>
    </row>
    <row r="28" spans="2:12" ht="15.75" customHeight="1">
      <c r="B28" s="8"/>
      <c r="C28" s="11"/>
      <c r="D28" s="286"/>
      <c r="E28" s="287"/>
      <c r="F28" s="295" t="s">
        <v>51</v>
      </c>
      <c r="G28" s="296"/>
      <c r="H28" s="297"/>
      <c r="I28" s="300" t="s">
        <v>52</v>
      </c>
      <c r="J28" s="301"/>
      <c r="K28" s="14"/>
      <c r="L28" s="9"/>
    </row>
    <row r="29" spans="2:12" ht="15.75" thickBot="1">
      <c r="B29" s="8"/>
      <c r="C29" s="11"/>
      <c r="D29" s="288"/>
      <c r="E29" s="289"/>
      <c r="F29" s="302" t="s">
        <v>7</v>
      </c>
      <c r="G29" s="303"/>
      <c r="H29" s="304"/>
      <c r="I29" s="305" t="s">
        <v>53</v>
      </c>
      <c r="J29" s="306"/>
      <c r="K29" s="14"/>
      <c r="L29" s="9"/>
    </row>
    <row r="30" spans="2:12" ht="15.75" thickBot="1">
      <c r="B30" s="8"/>
      <c r="C30" s="15"/>
      <c r="D30" s="10"/>
      <c r="E30" s="10"/>
      <c r="F30" s="10"/>
      <c r="G30" s="10"/>
      <c r="H30" s="10"/>
      <c r="I30" s="10"/>
      <c r="J30" s="10"/>
      <c r="K30" s="10"/>
      <c r="L30" s="9"/>
    </row>
    <row r="31" spans="2:12" ht="19.5" thickBot="1">
      <c r="B31" s="8"/>
      <c r="C31" s="254" t="s">
        <v>1</v>
      </c>
      <c r="D31" s="255"/>
      <c r="E31" s="255"/>
      <c r="F31" s="255"/>
      <c r="G31" s="255"/>
      <c r="H31" s="255"/>
      <c r="I31" s="255"/>
      <c r="J31" s="255"/>
      <c r="K31" s="256"/>
      <c r="L31" s="9"/>
    </row>
    <row r="32" spans="2:12" ht="15">
      <c r="B32" s="8"/>
      <c r="C32" s="257" t="s">
        <v>59</v>
      </c>
      <c r="D32" s="258"/>
      <c r="E32" s="258"/>
      <c r="F32" s="258"/>
      <c r="G32" s="258"/>
      <c r="H32" s="258"/>
      <c r="I32" s="258"/>
      <c r="J32" s="258"/>
      <c r="K32" s="259"/>
      <c r="L32" s="9"/>
    </row>
    <row r="33" spans="2:12" ht="15">
      <c r="B33" s="8"/>
      <c r="C33" s="260"/>
      <c r="D33" s="261"/>
      <c r="E33" s="261"/>
      <c r="F33" s="261"/>
      <c r="G33" s="261"/>
      <c r="H33" s="261"/>
      <c r="I33" s="261"/>
      <c r="J33" s="261"/>
      <c r="K33" s="262"/>
      <c r="L33" s="9"/>
    </row>
    <row r="34" spans="2:12" ht="15">
      <c r="B34" s="8"/>
      <c r="C34" s="260"/>
      <c r="D34" s="261"/>
      <c r="E34" s="261"/>
      <c r="F34" s="261"/>
      <c r="G34" s="261"/>
      <c r="H34" s="261"/>
      <c r="I34" s="261"/>
      <c r="J34" s="261"/>
      <c r="K34" s="262"/>
      <c r="L34" s="9"/>
    </row>
    <row r="35" spans="2:12" ht="15">
      <c r="B35" s="8"/>
      <c r="C35" s="260"/>
      <c r="D35" s="261"/>
      <c r="E35" s="261"/>
      <c r="F35" s="261"/>
      <c r="G35" s="261"/>
      <c r="H35" s="261"/>
      <c r="I35" s="261"/>
      <c r="J35" s="261"/>
      <c r="K35" s="262"/>
      <c r="L35" s="9"/>
    </row>
    <row r="36" spans="2:12" ht="15">
      <c r="B36" s="8"/>
      <c r="C36" s="260"/>
      <c r="D36" s="261"/>
      <c r="E36" s="261"/>
      <c r="F36" s="261"/>
      <c r="G36" s="261"/>
      <c r="H36" s="261"/>
      <c r="I36" s="261"/>
      <c r="J36" s="261"/>
      <c r="K36" s="262"/>
      <c r="L36" s="9"/>
    </row>
    <row r="37" spans="2:12" ht="15">
      <c r="B37" s="8"/>
      <c r="C37" s="263" t="s">
        <v>60</v>
      </c>
      <c r="D37" s="264"/>
      <c r="E37" s="264"/>
      <c r="F37" s="264"/>
      <c r="G37" s="264"/>
      <c r="H37" s="264"/>
      <c r="I37" s="264"/>
      <c r="J37" s="264"/>
      <c r="K37" s="265"/>
      <c r="L37" s="9"/>
    </row>
    <row r="38" spans="2:12" ht="15">
      <c r="B38" s="8"/>
      <c r="C38" s="263"/>
      <c r="D38" s="264"/>
      <c r="E38" s="264"/>
      <c r="F38" s="264"/>
      <c r="G38" s="264"/>
      <c r="H38" s="264"/>
      <c r="I38" s="264"/>
      <c r="J38" s="264"/>
      <c r="K38" s="265"/>
      <c r="L38" s="9"/>
    </row>
    <row r="39" spans="2:12" ht="15">
      <c r="B39" s="8"/>
      <c r="C39" s="263"/>
      <c r="D39" s="264"/>
      <c r="E39" s="264"/>
      <c r="F39" s="264"/>
      <c r="G39" s="264"/>
      <c r="H39" s="264"/>
      <c r="I39" s="264"/>
      <c r="J39" s="264"/>
      <c r="K39" s="265"/>
      <c r="L39" s="9"/>
    </row>
    <row r="40" spans="2:12" ht="15">
      <c r="B40" s="8"/>
      <c r="C40" s="263"/>
      <c r="D40" s="264"/>
      <c r="E40" s="264"/>
      <c r="F40" s="264"/>
      <c r="G40" s="264"/>
      <c r="H40" s="264"/>
      <c r="I40" s="264"/>
      <c r="J40" s="264"/>
      <c r="K40" s="265"/>
      <c r="L40" s="9"/>
    </row>
    <row r="41" spans="2:12" ht="15">
      <c r="B41" s="8"/>
      <c r="C41" s="263"/>
      <c r="D41" s="264"/>
      <c r="E41" s="264"/>
      <c r="F41" s="264"/>
      <c r="G41" s="264"/>
      <c r="H41" s="264"/>
      <c r="I41" s="264"/>
      <c r="J41" s="264"/>
      <c r="K41" s="265"/>
      <c r="L41" s="9"/>
    </row>
    <row r="42" spans="2:12" ht="15">
      <c r="B42" s="8"/>
      <c r="C42" s="263"/>
      <c r="D42" s="264"/>
      <c r="E42" s="264"/>
      <c r="F42" s="264"/>
      <c r="G42" s="264"/>
      <c r="H42" s="264"/>
      <c r="I42" s="264"/>
      <c r="J42" s="264"/>
      <c r="K42" s="265"/>
      <c r="L42" s="9"/>
    </row>
    <row r="43" spans="2:12" ht="15">
      <c r="B43" s="8"/>
      <c r="C43" s="263"/>
      <c r="D43" s="264"/>
      <c r="E43" s="264"/>
      <c r="F43" s="264"/>
      <c r="G43" s="264"/>
      <c r="H43" s="264"/>
      <c r="I43" s="264"/>
      <c r="J43" s="264"/>
      <c r="K43" s="265"/>
      <c r="L43" s="9"/>
    </row>
    <row r="44" spans="2:12" ht="15">
      <c r="B44" s="8"/>
      <c r="C44" s="266" t="s">
        <v>2</v>
      </c>
      <c r="D44" s="267"/>
      <c r="E44" s="267"/>
      <c r="F44" s="267"/>
      <c r="G44" s="267"/>
      <c r="H44" s="267"/>
      <c r="I44" s="267"/>
      <c r="J44" s="267"/>
      <c r="K44" s="268"/>
      <c r="L44" s="9"/>
    </row>
    <row r="45" spans="2:12" ht="15">
      <c r="B45" s="8"/>
      <c r="C45" s="266"/>
      <c r="D45" s="267"/>
      <c r="E45" s="267"/>
      <c r="F45" s="267"/>
      <c r="G45" s="267"/>
      <c r="H45" s="267"/>
      <c r="I45" s="267"/>
      <c r="J45" s="267"/>
      <c r="K45" s="268"/>
      <c r="L45" s="9"/>
    </row>
    <row r="46" spans="2:12" ht="15">
      <c r="B46" s="8"/>
      <c r="C46" s="266"/>
      <c r="D46" s="267"/>
      <c r="E46" s="267"/>
      <c r="F46" s="267"/>
      <c r="G46" s="267"/>
      <c r="H46" s="267"/>
      <c r="I46" s="267"/>
      <c r="J46" s="267"/>
      <c r="K46" s="268"/>
      <c r="L46" s="9"/>
    </row>
    <row r="47" spans="2:12" ht="15">
      <c r="B47" s="8"/>
      <c r="C47" s="266"/>
      <c r="D47" s="267"/>
      <c r="E47" s="267"/>
      <c r="F47" s="267"/>
      <c r="G47" s="267"/>
      <c r="H47" s="267"/>
      <c r="I47" s="267"/>
      <c r="J47" s="267"/>
      <c r="K47" s="268"/>
      <c r="L47" s="9"/>
    </row>
    <row r="48" spans="2:12" ht="15">
      <c r="B48" s="8"/>
      <c r="C48" s="266"/>
      <c r="D48" s="267"/>
      <c r="E48" s="267"/>
      <c r="F48" s="267"/>
      <c r="G48" s="267"/>
      <c r="H48" s="267"/>
      <c r="I48" s="267"/>
      <c r="J48" s="267"/>
      <c r="K48" s="268"/>
      <c r="L48" s="9"/>
    </row>
    <row r="49" spans="2:12" ht="15">
      <c r="B49" s="250"/>
      <c r="C49" s="269" t="s">
        <v>61</v>
      </c>
      <c r="D49" s="270"/>
      <c r="E49" s="270"/>
      <c r="F49" s="270"/>
      <c r="G49" s="270"/>
      <c r="H49" s="270"/>
      <c r="I49" s="270"/>
      <c r="J49" s="270"/>
      <c r="K49" s="271"/>
      <c r="L49" s="249"/>
    </row>
    <row r="50" spans="2:12" ht="15.75" thickBot="1">
      <c r="B50" s="250"/>
      <c r="C50" s="272" t="s">
        <v>62</v>
      </c>
      <c r="D50" s="273"/>
      <c r="E50" s="273"/>
      <c r="F50" s="273"/>
      <c r="G50" s="273"/>
      <c r="H50" s="273"/>
      <c r="I50" s="273"/>
      <c r="J50" s="273"/>
      <c r="K50" s="274"/>
      <c r="L50" s="249"/>
    </row>
    <row r="51" spans="2:12" ht="15.75" thickBot="1">
      <c r="B51" s="16"/>
      <c r="C51" s="17"/>
      <c r="D51" s="17"/>
      <c r="E51" s="17"/>
      <c r="F51" s="17"/>
      <c r="G51" s="17"/>
      <c r="H51" s="17"/>
      <c r="I51" s="17"/>
      <c r="J51" s="18"/>
      <c r="K51" s="18"/>
      <c r="L51" s="19"/>
    </row>
  </sheetData>
  <sheetProtection password="E7B2" sheet="1" objects="1" scenarios="1"/>
  <mergeCells count="23">
    <mergeCell ref="C3:K3"/>
    <mergeCell ref="C4:K4"/>
    <mergeCell ref="C6:G6"/>
    <mergeCell ref="H6:K6"/>
    <mergeCell ref="C8:K9"/>
    <mergeCell ref="C10:G10"/>
    <mergeCell ref="H10:K10"/>
    <mergeCell ref="C12:K24"/>
    <mergeCell ref="D26:E29"/>
    <mergeCell ref="F26:H26"/>
    <mergeCell ref="I26:J26"/>
    <mergeCell ref="F27:H27"/>
    <mergeCell ref="I27:J27"/>
    <mergeCell ref="F28:H28"/>
    <mergeCell ref="I28:J28"/>
    <mergeCell ref="F29:H29"/>
    <mergeCell ref="I29:J29"/>
    <mergeCell ref="C31:K31"/>
    <mergeCell ref="C32:K36"/>
    <mergeCell ref="C37:K43"/>
    <mergeCell ref="C44:K48"/>
    <mergeCell ref="C49:K49"/>
    <mergeCell ref="C50:K50"/>
  </mergeCells>
  <hyperlinks>
    <hyperlink ref="C8:K9" r:id="rId1" display="For the most recent version of this ECM, and links to other useful analysis tools, please click here to go to http://www.appropedia.org/Category:Queens_Green_IT_ECMs"/>
    <hyperlink ref="C49:K49" location="'6. Assumptions &amp; Source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90" r:id="rId2"/>
  <headerFooter>
    <oddHeader>&amp;L&amp;F&amp;R&amp;A</oddHeader>
    <oddFooter>&amp;LLast modified by user: &amp;D&amp;RPage &amp;P of &amp;N</oddFooter>
  </headerFooter>
  <rowBreaks count="1" manualBreakCount="1">
    <brk id="50" min="2" max="10" man="1"/>
  </rowBreaks>
</worksheet>
</file>

<file path=xl/worksheets/sheet2.xml><?xml version="1.0" encoding="utf-8"?>
<worksheet xmlns="http://schemas.openxmlformats.org/spreadsheetml/2006/main" xmlns:r="http://schemas.openxmlformats.org/officeDocument/2006/relationships">
  <dimension ref="B2:S75"/>
  <sheetViews>
    <sheetView zoomScalePageLayoutView="0" workbookViewId="0" topLeftCell="A1">
      <selection activeCell="C68" sqref="C68:L68"/>
    </sheetView>
  </sheetViews>
  <sheetFormatPr defaultColWidth="9.140625" defaultRowHeight="15"/>
  <cols>
    <col min="1" max="2" width="2.8515625" style="1" customWidth="1"/>
    <col min="3" max="3" width="36.00390625" style="1" customWidth="1"/>
    <col min="4" max="4" width="18.421875" style="1" customWidth="1"/>
    <col min="5" max="12" width="14.421875" style="1" customWidth="1"/>
    <col min="13" max="13" width="2.8515625" style="1" customWidth="1"/>
    <col min="14" max="16384" width="9.140625" style="1" customWidth="1"/>
  </cols>
  <sheetData>
    <row r="1" ht="15.75" thickBot="1"/>
    <row r="2" spans="2:13" ht="15">
      <c r="B2" s="2"/>
      <c r="C2" s="3"/>
      <c r="D2" s="3"/>
      <c r="E2" s="3"/>
      <c r="F2" s="3"/>
      <c r="G2" s="3"/>
      <c r="H2" s="3"/>
      <c r="I2" s="3"/>
      <c r="J2" s="3"/>
      <c r="K2" s="3"/>
      <c r="L2" s="3"/>
      <c r="M2" s="4"/>
    </row>
    <row r="3" spans="2:16" s="79" customFormat="1" ht="15.75">
      <c r="B3" s="248"/>
      <c r="C3" s="77" t="s">
        <v>64</v>
      </c>
      <c r="D3" s="380" t="s">
        <v>3</v>
      </c>
      <c r="E3" s="381"/>
      <c r="F3" s="381"/>
      <c r="G3" s="381"/>
      <c r="H3" s="381"/>
      <c r="I3" s="382" t="str">
        <f>'[1]1.Home'!C10</f>
        <v>This template last modified on:</v>
      </c>
      <c r="J3" s="383"/>
      <c r="K3" s="383"/>
      <c r="L3" s="78">
        <f>'1.Home'!H6</f>
        <v>41303</v>
      </c>
      <c r="M3" s="249"/>
      <c r="N3" s="1"/>
      <c r="O3" s="1"/>
      <c r="P3" s="1"/>
    </row>
    <row r="4" spans="2:13" ht="15" customHeight="1" thickBot="1">
      <c r="B4" s="248"/>
      <c r="C4" s="252"/>
      <c r="D4" s="252"/>
      <c r="E4" s="252"/>
      <c r="F4" s="252"/>
      <c r="G4" s="252"/>
      <c r="H4" s="252"/>
      <c r="I4" s="252"/>
      <c r="J4" s="252"/>
      <c r="K4" s="252"/>
      <c r="L4" s="252"/>
      <c r="M4" s="249"/>
    </row>
    <row r="5" spans="2:13" ht="32.25" thickBot="1">
      <c r="B5" s="8"/>
      <c r="C5" s="384" t="s">
        <v>118</v>
      </c>
      <c r="D5" s="385"/>
      <c r="E5" s="385"/>
      <c r="F5" s="385"/>
      <c r="G5" s="385"/>
      <c r="H5" s="385"/>
      <c r="I5" s="385"/>
      <c r="J5" s="385"/>
      <c r="K5" s="385"/>
      <c r="L5" s="386"/>
      <c r="M5" s="249"/>
    </row>
    <row r="6" spans="2:13" ht="15.75" thickBot="1">
      <c r="B6" s="8"/>
      <c r="C6" s="10"/>
      <c r="D6" s="10"/>
      <c r="E6" s="10"/>
      <c r="F6" s="10"/>
      <c r="G6" s="10"/>
      <c r="H6" s="10"/>
      <c r="I6" s="10"/>
      <c r="J6" s="10"/>
      <c r="K6" s="10"/>
      <c r="L6" s="10"/>
      <c r="M6" s="9"/>
    </row>
    <row r="7" spans="2:19" s="82" customFormat="1" ht="75" customHeight="1">
      <c r="B7" s="80"/>
      <c r="C7" s="387" t="s">
        <v>119</v>
      </c>
      <c r="D7" s="388"/>
      <c r="E7" s="388"/>
      <c r="F7" s="388"/>
      <c r="G7" s="388"/>
      <c r="H7" s="388"/>
      <c r="I7" s="388"/>
      <c r="J7" s="388"/>
      <c r="K7" s="388"/>
      <c r="L7" s="389"/>
      <c r="M7" s="81"/>
      <c r="N7" s="1"/>
      <c r="O7" s="1"/>
      <c r="P7" s="1"/>
      <c r="Q7" s="1"/>
      <c r="R7" s="1"/>
      <c r="S7" s="1"/>
    </row>
    <row r="8" spans="2:19" s="82" customFormat="1" ht="36" customHeight="1" thickBot="1">
      <c r="B8" s="80"/>
      <c r="C8" s="370" t="s">
        <v>122</v>
      </c>
      <c r="D8" s="371"/>
      <c r="E8" s="371"/>
      <c r="F8" s="371"/>
      <c r="G8" s="371"/>
      <c r="H8" s="371"/>
      <c r="I8" s="371"/>
      <c r="J8" s="371"/>
      <c r="K8" s="371"/>
      <c r="L8" s="372"/>
      <c r="M8" s="81"/>
      <c r="N8" s="1"/>
      <c r="O8" s="1"/>
      <c r="P8" s="1"/>
      <c r="Q8" s="1"/>
      <c r="R8" s="1"/>
      <c r="S8" s="1"/>
    </row>
    <row r="9" spans="2:19" s="82" customFormat="1" ht="15.75" thickBot="1">
      <c r="B9" s="80"/>
      <c r="C9" s="83"/>
      <c r="D9" s="83"/>
      <c r="E9" s="83"/>
      <c r="F9" s="83"/>
      <c r="G9" s="83"/>
      <c r="H9" s="83"/>
      <c r="I9" s="83"/>
      <c r="J9" s="83"/>
      <c r="K9" s="83"/>
      <c r="L9" s="83"/>
      <c r="M9" s="81"/>
      <c r="N9" s="1"/>
      <c r="O9" s="1"/>
      <c r="P9" s="1"/>
      <c r="Q9" s="1"/>
      <c r="R9" s="1"/>
      <c r="S9" s="1"/>
    </row>
    <row r="10" spans="2:19" s="82" customFormat="1" ht="75" customHeight="1" thickBot="1">
      <c r="B10" s="80"/>
      <c r="C10" s="390" t="s">
        <v>120</v>
      </c>
      <c r="D10" s="391"/>
      <c r="E10" s="391"/>
      <c r="F10" s="391"/>
      <c r="G10" s="391"/>
      <c r="H10" s="391"/>
      <c r="I10" s="391"/>
      <c r="J10" s="391"/>
      <c r="K10" s="391"/>
      <c r="L10" s="392"/>
      <c r="M10" s="81"/>
      <c r="N10" s="1"/>
      <c r="O10" s="1"/>
      <c r="P10" s="1"/>
      <c r="Q10" s="1"/>
      <c r="R10" s="1"/>
      <c r="S10" s="1"/>
    </row>
    <row r="11" spans="2:13" ht="15.75" thickBot="1">
      <c r="B11" s="8"/>
      <c r="C11" s="252"/>
      <c r="D11" s="252"/>
      <c r="E11" s="252"/>
      <c r="F11" s="252"/>
      <c r="G11" s="252"/>
      <c r="H11" s="252"/>
      <c r="I11" s="252"/>
      <c r="J11" s="252"/>
      <c r="K11" s="252"/>
      <c r="L11" s="252"/>
      <c r="M11" s="84"/>
    </row>
    <row r="12" spans="2:13" ht="24" thickBot="1">
      <c r="B12" s="8"/>
      <c r="C12" s="366" t="s">
        <v>100</v>
      </c>
      <c r="D12" s="367"/>
      <c r="E12" s="367"/>
      <c r="F12" s="367"/>
      <c r="G12" s="367"/>
      <c r="H12" s="367"/>
      <c r="I12" s="367"/>
      <c r="J12" s="367"/>
      <c r="K12" s="367"/>
      <c r="L12" s="368"/>
      <c r="M12" s="85"/>
    </row>
    <row r="13" spans="2:13" ht="15.75" thickBot="1">
      <c r="B13" s="8"/>
      <c r="C13" s="252"/>
      <c r="D13" s="252"/>
      <c r="E13" s="252"/>
      <c r="F13" s="252"/>
      <c r="G13" s="252"/>
      <c r="H13" s="252"/>
      <c r="I13" s="252"/>
      <c r="J13" s="252"/>
      <c r="K13" s="252"/>
      <c r="L13" s="252"/>
      <c r="M13" s="86"/>
    </row>
    <row r="14" spans="2:13" ht="15.75" customHeight="1" thickBot="1">
      <c r="B14" s="8"/>
      <c r="C14" s="342" t="s">
        <v>102</v>
      </c>
      <c r="D14" s="343"/>
      <c r="E14" s="87"/>
      <c r="F14" s="373" t="s">
        <v>10</v>
      </c>
      <c r="G14" s="374"/>
      <c r="H14" s="374"/>
      <c r="I14" s="374"/>
      <c r="J14" s="374"/>
      <c r="K14" s="375"/>
      <c r="L14" s="88" t="s">
        <v>11</v>
      </c>
      <c r="M14" s="86"/>
    </row>
    <row r="15" spans="2:13" ht="15">
      <c r="B15" s="8"/>
      <c r="C15" s="344"/>
      <c r="D15" s="345"/>
      <c r="E15" s="87"/>
      <c r="F15" s="355" t="s">
        <v>12</v>
      </c>
      <c r="G15" s="356"/>
      <c r="H15" s="356"/>
      <c r="I15" s="356"/>
      <c r="J15" s="356"/>
      <c r="K15" s="356"/>
      <c r="L15" s="357"/>
      <c r="M15" s="86"/>
    </row>
    <row r="16" spans="2:13" ht="15">
      <c r="B16" s="8"/>
      <c r="C16" s="344"/>
      <c r="D16" s="345"/>
      <c r="E16" s="87"/>
      <c r="F16" s="340" t="s">
        <v>101</v>
      </c>
      <c r="G16" s="341"/>
      <c r="H16" s="341"/>
      <c r="I16" s="341"/>
      <c r="J16" s="341"/>
      <c r="K16" s="341"/>
      <c r="L16" s="89">
        <v>2</v>
      </c>
      <c r="M16" s="86"/>
    </row>
    <row r="17" spans="2:13" ht="15">
      <c r="B17" s="8"/>
      <c r="C17" s="344"/>
      <c r="D17" s="345"/>
      <c r="E17" s="87"/>
      <c r="F17" s="340" t="s">
        <v>23</v>
      </c>
      <c r="G17" s="341"/>
      <c r="H17" s="341"/>
      <c r="I17" s="341"/>
      <c r="J17" s="341"/>
      <c r="K17" s="341"/>
      <c r="L17" s="89">
        <v>5</v>
      </c>
      <c r="M17" s="86"/>
    </row>
    <row r="18" spans="2:13" ht="15">
      <c r="B18" s="8"/>
      <c r="C18" s="344"/>
      <c r="D18" s="345"/>
      <c r="E18" s="87"/>
      <c r="F18" s="340" t="s">
        <v>16</v>
      </c>
      <c r="G18" s="341"/>
      <c r="H18" s="341"/>
      <c r="I18" s="341"/>
      <c r="J18" s="341"/>
      <c r="K18" s="341"/>
      <c r="L18" s="90">
        <f>L17/24</f>
        <v>0.20833333333333334</v>
      </c>
      <c r="M18" s="86"/>
    </row>
    <row r="19" spans="2:13" ht="15">
      <c r="B19" s="8"/>
      <c r="C19" s="344"/>
      <c r="D19" s="345"/>
      <c r="E19" s="252"/>
      <c r="F19" s="340" t="s">
        <v>13</v>
      </c>
      <c r="G19" s="341"/>
      <c r="H19" s="341"/>
      <c r="I19" s="341"/>
      <c r="J19" s="341"/>
      <c r="K19" s="341"/>
      <c r="L19" s="89">
        <v>10</v>
      </c>
      <c r="M19" s="86"/>
    </row>
    <row r="20" spans="2:13" ht="15">
      <c r="B20" s="8"/>
      <c r="C20" s="344"/>
      <c r="D20" s="345"/>
      <c r="E20" s="252"/>
      <c r="F20" s="340" t="s">
        <v>14</v>
      </c>
      <c r="G20" s="341"/>
      <c r="H20" s="341"/>
      <c r="I20" s="341"/>
      <c r="J20" s="341"/>
      <c r="K20" s="341"/>
      <c r="L20" s="89">
        <v>30</v>
      </c>
      <c r="M20" s="86"/>
    </row>
    <row r="21" spans="2:13" ht="15.75" thickBot="1">
      <c r="B21" s="8"/>
      <c r="C21" s="344"/>
      <c r="D21" s="345"/>
      <c r="E21" s="252"/>
      <c r="F21" s="358" t="s">
        <v>15</v>
      </c>
      <c r="G21" s="359"/>
      <c r="H21" s="359"/>
      <c r="I21" s="359"/>
      <c r="J21" s="359"/>
      <c r="K21" s="359"/>
      <c r="L21" s="91">
        <v>0.005</v>
      </c>
      <c r="M21" s="86"/>
    </row>
    <row r="22" spans="2:13" ht="15.75" thickBot="1">
      <c r="B22" s="8"/>
      <c r="C22" s="344"/>
      <c r="D22" s="345"/>
      <c r="E22" s="252"/>
      <c r="F22" s="332"/>
      <c r="G22" s="333"/>
      <c r="H22" s="333"/>
      <c r="I22" s="333"/>
      <c r="J22" s="333"/>
      <c r="K22" s="333"/>
      <c r="L22" s="334"/>
      <c r="M22" s="86"/>
    </row>
    <row r="23" spans="2:13" ht="15.75" thickBot="1">
      <c r="B23" s="8"/>
      <c r="C23" s="344"/>
      <c r="D23" s="345"/>
      <c r="E23" s="252"/>
      <c r="F23" s="335" t="s">
        <v>70</v>
      </c>
      <c r="G23" s="336"/>
      <c r="H23" s="336"/>
      <c r="I23" s="336"/>
      <c r="J23" s="336"/>
      <c r="K23" s="336"/>
      <c r="L23" s="337"/>
      <c r="M23" s="86"/>
    </row>
    <row r="24" spans="2:13" ht="15">
      <c r="B24" s="8"/>
      <c r="C24" s="344"/>
      <c r="D24" s="345"/>
      <c r="E24" s="252"/>
      <c r="F24" s="338" t="s">
        <v>17</v>
      </c>
      <c r="G24" s="339"/>
      <c r="H24" s="339"/>
      <c r="I24" s="339"/>
      <c r="J24" s="339"/>
      <c r="K24" s="339"/>
      <c r="L24" s="92">
        <v>6.5</v>
      </c>
      <c r="M24" s="86"/>
    </row>
    <row r="25" spans="2:13" ht="15">
      <c r="B25" s="8"/>
      <c r="C25" s="344"/>
      <c r="D25" s="345"/>
      <c r="E25" s="252"/>
      <c r="F25" s="340" t="s">
        <v>18</v>
      </c>
      <c r="G25" s="341"/>
      <c r="H25" s="341"/>
      <c r="I25" s="341"/>
      <c r="J25" s="341"/>
      <c r="K25" s="341"/>
      <c r="L25" s="93">
        <f>L24*1000*L16</f>
        <v>13000</v>
      </c>
      <c r="M25" s="86"/>
    </row>
    <row r="26" spans="2:13" ht="15">
      <c r="B26" s="8"/>
      <c r="C26" s="344"/>
      <c r="D26" s="345"/>
      <c r="E26" s="252"/>
      <c r="F26" s="340" t="s">
        <v>19</v>
      </c>
      <c r="G26" s="341"/>
      <c r="H26" s="341"/>
      <c r="I26" s="341"/>
      <c r="J26" s="341"/>
      <c r="K26" s="341"/>
      <c r="L26" s="93">
        <f>0.01*L25</f>
        <v>130</v>
      </c>
      <c r="M26" s="86"/>
    </row>
    <row r="27" spans="2:13" ht="15">
      <c r="B27" s="8"/>
      <c r="C27" s="344"/>
      <c r="D27" s="345"/>
      <c r="E27" s="252"/>
      <c r="F27" s="340" t="s">
        <v>20</v>
      </c>
      <c r="G27" s="341"/>
      <c r="H27" s="341"/>
      <c r="I27" s="341"/>
      <c r="J27" s="341"/>
      <c r="K27" s="341"/>
      <c r="L27" s="93">
        <f>(9/100)*L25</f>
        <v>1170</v>
      </c>
      <c r="M27" s="86"/>
    </row>
    <row r="28" spans="2:13" ht="15">
      <c r="B28" s="8"/>
      <c r="C28" s="344"/>
      <c r="D28" s="345"/>
      <c r="E28" s="252"/>
      <c r="F28" s="340" t="s">
        <v>24</v>
      </c>
      <c r="G28" s="341"/>
      <c r="H28" s="341"/>
      <c r="I28" s="341"/>
      <c r="J28" s="341"/>
      <c r="K28" s="341"/>
      <c r="L28" s="93">
        <v>0</v>
      </c>
      <c r="M28" s="86"/>
    </row>
    <row r="29" spans="2:13" ht="15.75" thickBot="1">
      <c r="B29" s="8"/>
      <c r="C29" s="344"/>
      <c r="D29" s="345"/>
      <c r="E29" s="10"/>
      <c r="F29" s="358" t="s">
        <v>25</v>
      </c>
      <c r="G29" s="359"/>
      <c r="H29" s="359"/>
      <c r="I29" s="359"/>
      <c r="J29" s="359"/>
      <c r="K29" s="359"/>
      <c r="L29" s="94">
        <v>0</v>
      </c>
      <c r="M29" s="86"/>
    </row>
    <row r="30" spans="2:13" ht="15.75" thickBot="1">
      <c r="B30" s="8"/>
      <c r="C30" s="344"/>
      <c r="D30" s="345"/>
      <c r="E30" s="10"/>
      <c r="F30" s="376"/>
      <c r="G30" s="377"/>
      <c r="H30" s="377"/>
      <c r="I30" s="377"/>
      <c r="J30" s="377"/>
      <c r="K30" s="377"/>
      <c r="L30" s="378"/>
      <c r="M30" s="86"/>
    </row>
    <row r="31" spans="2:13" ht="15.75" thickBot="1">
      <c r="B31" s="8"/>
      <c r="C31" s="344"/>
      <c r="D31" s="345"/>
      <c r="E31" s="10"/>
      <c r="F31" s="352" t="s">
        <v>69</v>
      </c>
      <c r="G31" s="353"/>
      <c r="H31" s="353"/>
      <c r="I31" s="353"/>
      <c r="J31" s="353"/>
      <c r="K31" s="353"/>
      <c r="L31" s="354"/>
      <c r="M31" s="86"/>
    </row>
    <row r="32" spans="2:13" ht="15">
      <c r="B32" s="8"/>
      <c r="C32" s="344"/>
      <c r="D32" s="345"/>
      <c r="E32" s="10"/>
      <c r="F32" s="338" t="s">
        <v>77</v>
      </c>
      <c r="G32" s="339"/>
      <c r="H32" s="339"/>
      <c r="I32" s="339"/>
      <c r="J32" s="339"/>
      <c r="K32" s="369"/>
      <c r="L32" s="95">
        <v>0.03</v>
      </c>
      <c r="M32" s="86"/>
    </row>
    <row r="33" spans="2:13" ht="15">
      <c r="B33" s="8"/>
      <c r="C33" s="344"/>
      <c r="D33" s="345"/>
      <c r="E33" s="10"/>
      <c r="F33" s="340" t="s">
        <v>76</v>
      </c>
      <c r="G33" s="341"/>
      <c r="H33" s="341"/>
      <c r="I33" s="341"/>
      <c r="J33" s="341"/>
      <c r="K33" s="348"/>
      <c r="L33" s="96">
        <v>0.02</v>
      </c>
      <c r="M33" s="86"/>
    </row>
    <row r="34" spans="2:13" ht="15">
      <c r="B34" s="8"/>
      <c r="C34" s="344"/>
      <c r="D34" s="345"/>
      <c r="E34" s="10"/>
      <c r="F34" s="340" t="s">
        <v>117</v>
      </c>
      <c r="G34" s="341"/>
      <c r="H34" s="341"/>
      <c r="I34" s="341"/>
      <c r="J34" s="341"/>
      <c r="K34" s="348"/>
      <c r="L34" s="97">
        <v>2600</v>
      </c>
      <c r="M34" s="86"/>
    </row>
    <row r="35" spans="2:13" ht="15.75" thickBot="1">
      <c r="B35" s="8"/>
      <c r="C35" s="346"/>
      <c r="D35" s="347"/>
      <c r="E35" s="10"/>
      <c r="F35" s="358" t="s">
        <v>87</v>
      </c>
      <c r="G35" s="359"/>
      <c r="H35" s="359"/>
      <c r="I35" s="359"/>
      <c r="J35" s="359"/>
      <c r="K35" s="379"/>
      <c r="L35" s="98">
        <v>13</v>
      </c>
      <c r="M35" s="9"/>
    </row>
    <row r="36" spans="2:13" ht="15.75" thickBot="1">
      <c r="B36" s="8"/>
      <c r="C36" s="10"/>
      <c r="D36" s="10"/>
      <c r="E36" s="10"/>
      <c r="F36" s="10"/>
      <c r="G36" s="10"/>
      <c r="H36" s="10"/>
      <c r="I36" s="10"/>
      <c r="J36" s="10"/>
      <c r="K36" s="10"/>
      <c r="L36" s="10"/>
      <c r="M36" s="9"/>
    </row>
    <row r="37" spans="2:13" ht="31.5" customHeight="1" thickBot="1">
      <c r="B37" s="8"/>
      <c r="C37" s="360" t="s">
        <v>148</v>
      </c>
      <c r="D37" s="361"/>
      <c r="E37" s="361"/>
      <c r="F37" s="361"/>
      <c r="G37" s="361"/>
      <c r="H37" s="361"/>
      <c r="I37" s="361"/>
      <c r="J37" s="361"/>
      <c r="K37" s="361"/>
      <c r="L37" s="362"/>
      <c r="M37" s="9"/>
    </row>
    <row r="38" spans="2:13" ht="15">
      <c r="B38" s="8"/>
      <c r="C38" s="10"/>
      <c r="D38" s="10"/>
      <c r="E38" s="10"/>
      <c r="F38" s="10"/>
      <c r="G38" s="10"/>
      <c r="H38" s="10"/>
      <c r="I38" s="10"/>
      <c r="J38" s="10"/>
      <c r="K38" s="10"/>
      <c r="L38" s="10"/>
      <c r="M38" s="9"/>
    </row>
    <row r="39" spans="2:13" ht="15">
      <c r="B39" s="8"/>
      <c r="C39" s="10"/>
      <c r="D39" s="10"/>
      <c r="E39" s="10"/>
      <c r="F39" s="10"/>
      <c r="G39" s="10"/>
      <c r="H39" s="10"/>
      <c r="I39" s="10"/>
      <c r="J39" s="10"/>
      <c r="K39" s="10"/>
      <c r="L39" s="10"/>
      <c r="M39" s="9"/>
    </row>
    <row r="40" spans="2:13" ht="15">
      <c r="B40" s="8"/>
      <c r="C40" s="10"/>
      <c r="D40" s="10"/>
      <c r="E40" s="10"/>
      <c r="F40" s="10"/>
      <c r="G40" s="10"/>
      <c r="H40" s="10"/>
      <c r="I40" s="10"/>
      <c r="J40" s="10"/>
      <c r="K40" s="10"/>
      <c r="L40" s="10"/>
      <c r="M40" s="9"/>
    </row>
    <row r="41" spans="2:13" ht="15">
      <c r="B41" s="8"/>
      <c r="C41" s="10"/>
      <c r="D41" s="10"/>
      <c r="E41" s="10"/>
      <c r="F41" s="10"/>
      <c r="G41" s="10"/>
      <c r="H41" s="10"/>
      <c r="I41" s="10"/>
      <c r="J41" s="10"/>
      <c r="K41" s="10"/>
      <c r="L41" s="10"/>
      <c r="M41" s="9"/>
    </row>
    <row r="42" spans="2:13" ht="15">
      <c r="B42" s="8"/>
      <c r="C42" s="10"/>
      <c r="D42" s="10"/>
      <c r="E42" s="10"/>
      <c r="F42" s="10"/>
      <c r="G42" s="10"/>
      <c r="H42" s="10"/>
      <c r="I42" s="10"/>
      <c r="J42" s="10"/>
      <c r="K42" s="10"/>
      <c r="L42" s="10"/>
      <c r="M42" s="9"/>
    </row>
    <row r="43" spans="2:13" ht="15">
      <c r="B43" s="8"/>
      <c r="C43" s="10"/>
      <c r="D43" s="10"/>
      <c r="E43" s="10"/>
      <c r="F43" s="10"/>
      <c r="G43" s="10"/>
      <c r="H43" s="10"/>
      <c r="I43" s="10"/>
      <c r="J43" s="10"/>
      <c r="K43" s="10"/>
      <c r="L43" s="10"/>
      <c r="M43" s="9"/>
    </row>
    <row r="44" spans="2:13" ht="15">
      <c r="B44" s="8"/>
      <c r="C44" s="10"/>
      <c r="D44" s="10"/>
      <c r="E44" s="10"/>
      <c r="F44" s="10"/>
      <c r="G44" s="10"/>
      <c r="H44" s="10"/>
      <c r="I44" s="10"/>
      <c r="J44" s="10"/>
      <c r="K44" s="10"/>
      <c r="L44" s="10"/>
      <c r="M44" s="9"/>
    </row>
    <row r="45" spans="2:13" ht="15">
      <c r="B45" s="8"/>
      <c r="C45" s="10"/>
      <c r="D45" s="10"/>
      <c r="E45" s="10"/>
      <c r="F45" s="10"/>
      <c r="G45" s="10"/>
      <c r="H45" s="10"/>
      <c r="I45" s="10"/>
      <c r="J45" s="10"/>
      <c r="K45" s="10"/>
      <c r="L45" s="10"/>
      <c r="M45" s="9"/>
    </row>
    <row r="46" spans="2:13" ht="15">
      <c r="B46" s="8"/>
      <c r="C46" s="10"/>
      <c r="D46" s="10"/>
      <c r="E46" s="10"/>
      <c r="F46" s="10"/>
      <c r="G46" s="10"/>
      <c r="H46" s="10"/>
      <c r="I46" s="10"/>
      <c r="J46" s="10"/>
      <c r="K46" s="10"/>
      <c r="L46" s="10"/>
      <c r="M46" s="9"/>
    </row>
    <row r="47" spans="2:13" ht="15">
      <c r="B47" s="8"/>
      <c r="C47" s="10"/>
      <c r="D47" s="10"/>
      <c r="E47" s="10"/>
      <c r="F47" s="10"/>
      <c r="G47" s="10"/>
      <c r="H47" s="10"/>
      <c r="I47" s="10"/>
      <c r="J47" s="10"/>
      <c r="K47" s="10"/>
      <c r="L47" s="10"/>
      <c r="M47" s="9"/>
    </row>
    <row r="48" spans="2:13" ht="15">
      <c r="B48" s="8"/>
      <c r="C48" s="10"/>
      <c r="D48" s="10"/>
      <c r="E48" s="10"/>
      <c r="F48" s="10"/>
      <c r="G48" s="10"/>
      <c r="H48" s="10"/>
      <c r="I48" s="10"/>
      <c r="J48" s="10"/>
      <c r="K48" s="10"/>
      <c r="L48" s="10"/>
      <c r="M48" s="9"/>
    </row>
    <row r="49" spans="2:13" ht="15.75" thickBot="1">
      <c r="B49" s="8"/>
      <c r="C49" s="10"/>
      <c r="D49" s="10"/>
      <c r="E49" s="10"/>
      <c r="F49" s="10"/>
      <c r="G49" s="10"/>
      <c r="H49" s="10"/>
      <c r="I49" s="10"/>
      <c r="J49" s="10"/>
      <c r="K49" s="10"/>
      <c r="L49" s="10"/>
      <c r="M49" s="9"/>
    </row>
    <row r="50" spans="2:13" ht="31.5" customHeight="1" thickBot="1">
      <c r="B50" s="8"/>
      <c r="C50" s="363" t="s">
        <v>149</v>
      </c>
      <c r="D50" s="364"/>
      <c r="E50" s="364"/>
      <c r="F50" s="364"/>
      <c r="G50" s="364"/>
      <c r="H50" s="364"/>
      <c r="I50" s="364"/>
      <c r="J50" s="364"/>
      <c r="K50" s="364"/>
      <c r="L50" s="365"/>
      <c r="M50" s="9"/>
    </row>
    <row r="51" spans="2:13" ht="15">
      <c r="B51" s="8"/>
      <c r="C51" s="10"/>
      <c r="D51" s="10"/>
      <c r="E51" s="10"/>
      <c r="F51" s="10"/>
      <c r="G51" s="10"/>
      <c r="H51" s="10"/>
      <c r="I51" s="10"/>
      <c r="J51" s="10"/>
      <c r="K51" s="10"/>
      <c r="L51" s="10"/>
      <c r="M51" s="9"/>
    </row>
    <row r="52" spans="2:13" ht="15">
      <c r="B52" s="8"/>
      <c r="C52" s="10"/>
      <c r="D52" s="10"/>
      <c r="E52" s="10"/>
      <c r="F52" s="10"/>
      <c r="G52" s="10"/>
      <c r="H52" s="10"/>
      <c r="I52" s="10"/>
      <c r="J52" s="10"/>
      <c r="K52" s="10"/>
      <c r="L52" s="10"/>
      <c r="M52" s="9"/>
    </row>
    <row r="53" spans="2:13" ht="15">
      <c r="B53" s="8"/>
      <c r="C53" s="10"/>
      <c r="D53" s="10"/>
      <c r="E53" s="10"/>
      <c r="F53" s="10"/>
      <c r="G53" s="10"/>
      <c r="H53" s="10"/>
      <c r="I53" s="10"/>
      <c r="J53" s="10"/>
      <c r="K53" s="10"/>
      <c r="L53" s="10"/>
      <c r="M53" s="9"/>
    </row>
    <row r="54" spans="2:13" ht="15">
      <c r="B54" s="8"/>
      <c r="C54" s="10"/>
      <c r="D54" s="10"/>
      <c r="E54" s="10"/>
      <c r="F54" s="10"/>
      <c r="G54" s="10"/>
      <c r="H54" s="10"/>
      <c r="I54" s="10"/>
      <c r="J54" s="10"/>
      <c r="K54" s="10"/>
      <c r="L54" s="10"/>
      <c r="M54" s="9"/>
    </row>
    <row r="55" spans="2:13" ht="15">
      <c r="B55" s="8"/>
      <c r="C55" s="10"/>
      <c r="D55" s="10"/>
      <c r="E55" s="10"/>
      <c r="F55" s="10"/>
      <c r="G55" s="10"/>
      <c r="H55" s="10"/>
      <c r="I55" s="10"/>
      <c r="J55" s="10"/>
      <c r="K55" s="10"/>
      <c r="L55" s="10"/>
      <c r="M55" s="9"/>
    </row>
    <row r="56" spans="2:13" ht="15">
      <c r="B56" s="8"/>
      <c r="C56" s="10"/>
      <c r="D56" s="10"/>
      <c r="E56" s="10"/>
      <c r="F56" s="10"/>
      <c r="G56" s="10"/>
      <c r="H56" s="10"/>
      <c r="I56" s="10"/>
      <c r="J56" s="10"/>
      <c r="K56" s="10"/>
      <c r="L56" s="10"/>
      <c r="M56" s="9"/>
    </row>
    <row r="57" spans="2:13" ht="15">
      <c r="B57" s="8"/>
      <c r="C57" s="10"/>
      <c r="D57" s="10"/>
      <c r="E57" s="10"/>
      <c r="F57" s="10"/>
      <c r="G57" s="10"/>
      <c r="H57" s="10"/>
      <c r="I57" s="10"/>
      <c r="J57" s="10"/>
      <c r="K57" s="10"/>
      <c r="L57" s="10"/>
      <c r="M57" s="9"/>
    </row>
    <row r="58" spans="2:13" ht="15">
      <c r="B58" s="8"/>
      <c r="C58" s="10"/>
      <c r="D58" s="10"/>
      <c r="E58" s="10"/>
      <c r="F58" s="10"/>
      <c r="G58" s="10"/>
      <c r="H58" s="10"/>
      <c r="I58" s="10"/>
      <c r="J58" s="10"/>
      <c r="K58" s="10"/>
      <c r="L58" s="10"/>
      <c r="M58" s="9"/>
    </row>
    <row r="59" spans="2:13" ht="15">
      <c r="B59" s="8"/>
      <c r="C59" s="10"/>
      <c r="D59" s="10"/>
      <c r="E59" s="10"/>
      <c r="F59" s="10"/>
      <c r="G59" s="10"/>
      <c r="H59" s="10"/>
      <c r="I59" s="10"/>
      <c r="J59" s="10"/>
      <c r="K59" s="10"/>
      <c r="L59" s="10"/>
      <c r="M59" s="9"/>
    </row>
    <row r="60" spans="2:13" ht="15">
      <c r="B60" s="8"/>
      <c r="C60" s="10"/>
      <c r="D60" s="10"/>
      <c r="E60" s="10"/>
      <c r="F60" s="10"/>
      <c r="G60" s="10"/>
      <c r="H60" s="10"/>
      <c r="I60" s="10"/>
      <c r="J60" s="10"/>
      <c r="K60" s="10"/>
      <c r="L60" s="10"/>
      <c r="M60" s="9"/>
    </row>
    <row r="61" spans="2:13" ht="15">
      <c r="B61" s="8"/>
      <c r="C61" s="10"/>
      <c r="D61" s="10"/>
      <c r="E61" s="10"/>
      <c r="F61" s="10"/>
      <c r="G61" s="10"/>
      <c r="H61" s="10"/>
      <c r="I61" s="10"/>
      <c r="J61" s="10"/>
      <c r="K61" s="10"/>
      <c r="L61" s="10"/>
      <c r="M61" s="9"/>
    </row>
    <row r="62" spans="2:13" ht="15">
      <c r="B62" s="8"/>
      <c r="C62" s="10"/>
      <c r="D62" s="10"/>
      <c r="E62" s="10"/>
      <c r="F62" s="10"/>
      <c r="G62" s="10"/>
      <c r="H62" s="10"/>
      <c r="I62" s="10"/>
      <c r="J62" s="10"/>
      <c r="K62" s="10"/>
      <c r="L62" s="10"/>
      <c r="M62" s="9"/>
    </row>
    <row r="63" spans="2:13" ht="15">
      <c r="B63" s="8"/>
      <c r="C63" s="10"/>
      <c r="D63" s="10"/>
      <c r="E63" s="10"/>
      <c r="F63" s="10"/>
      <c r="G63" s="10"/>
      <c r="H63" s="10"/>
      <c r="I63" s="10"/>
      <c r="J63" s="10"/>
      <c r="K63" s="10"/>
      <c r="L63" s="10"/>
      <c r="M63" s="9"/>
    </row>
    <row r="64" spans="2:13" ht="15">
      <c r="B64" s="8"/>
      <c r="C64" s="10"/>
      <c r="D64" s="10"/>
      <c r="E64" s="10"/>
      <c r="F64" s="10"/>
      <c r="G64" s="10"/>
      <c r="H64" s="10"/>
      <c r="I64" s="10"/>
      <c r="J64" s="10"/>
      <c r="K64" s="10"/>
      <c r="L64" s="10"/>
      <c r="M64" s="9"/>
    </row>
    <row r="65" spans="2:13" ht="15">
      <c r="B65" s="8"/>
      <c r="C65" s="10"/>
      <c r="D65" s="10"/>
      <c r="E65" s="10"/>
      <c r="F65" s="10"/>
      <c r="G65" s="10"/>
      <c r="H65" s="10"/>
      <c r="I65" s="10"/>
      <c r="J65" s="10"/>
      <c r="K65" s="10"/>
      <c r="L65" s="10"/>
      <c r="M65" s="9"/>
    </row>
    <row r="66" spans="2:13" ht="15">
      <c r="B66" s="8"/>
      <c r="C66" s="10"/>
      <c r="D66" s="10"/>
      <c r="E66" s="10"/>
      <c r="F66" s="10"/>
      <c r="G66" s="10"/>
      <c r="H66" s="10"/>
      <c r="I66" s="10"/>
      <c r="J66" s="10"/>
      <c r="K66" s="10"/>
      <c r="L66" s="10"/>
      <c r="M66" s="9"/>
    </row>
    <row r="67" spans="2:13" ht="15.75" thickBot="1">
      <c r="B67" s="8"/>
      <c r="C67" s="10"/>
      <c r="D67" s="10"/>
      <c r="E67" s="10"/>
      <c r="F67" s="10"/>
      <c r="G67" s="10"/>
      <c r="H67" s="10"/>
      <c r="I67" s="10"/>
      <c r="J67" s="10"/>
      <c r="K67" s="10"/>
      <c r="L67" s="10"/>
      <c r="M67" s="9"/>
    </row>
    <row r="68" spans="2:13" ht="15.75" thickBot="1">
      <c r="B68" s="8"/>
      <c r="C68" s="329" t="s">
        <v>103</v>
      </c>
      <c r="D68" s="330"/>
      <c r="E68" s="330"/>
      <c r="F68" s="330"/>
      <c r="G68" s="330"/>
      <c r="H68" s="330"/>
      <c r="I68" s="330"/>
      <c r="J68" s="330"/>
      <c r="K68" s="330"/>
      <c r="L68" s="331"/>
      <c r="M68" s="9"/>
    </row>
    <row r="69" spans="2:13" ht="15.75" thickBot="1">
      <c r="B69" s="8"/>
      <c r="C69" s="10"/>
      <c r="D69" s="10"/>
      <c r="E69" s="10"/>
      <c r="F69" s="10"/>
      <c r="G69" s="10"/>
      <c r="H69" s="10"/>
      <c r="I69" s="10"/>
      <c r="J69" s="10"/>
      <c r="K69" s="10"/>
      <c r="L69" s="10"/>
      <c r="M69" s="9"/>
    </row>
    <row r="70" spans="2:13" ht="15.75" thickBot="1">
      <c r="B70" s="8"/>
      <c r="C70" s="99" t="s">
        <v>94</v>
      </c>
      <c r="D70" s="100">
        <f>loanterm1</f>
        <v>13</v>
      </c>
      <c r="E70" s="101">
        <v>5</v>
      </c>
      <c r="F70" s="102">
        <v>10</v>
      </c>
      <c r="G70" s="102">
        <v>15</v>
      </c>
      <c r="H70" s="102">
        <v>20</v>
      </c>
      <c r="I70" s="102">
        <v>25</v>
      </c>
      <c r="J70" s="102">
        <v>30</v>
      </c>
      <c r="K70" s="102">
        <v>35</v>
      </c>
      <c r="L70" s="103">
        <v>40</v>
      </c>
      <c r="M70" s="9"/>
    </row>
    <row r="71" spans="2:13" ht="15" customHeight="1">
      <c r="B71" s="8"/>
      <c r="C71" s="104" t="s">
        <v>91</v>
      </c>
      <c r="D71" s="105">
        <v>17876.555007007228</v>
      </c>
      <c r="E71" s="574">
        <v>18082.284706123995</v>
      </c>
      <c r="F71" s="106">
        <v>17951.355147931856</v>
      </c>
      <c r="G71" s="106">
        <v>17828.21378896391</v>
      </c>
      <c r="H71" s="106">
        <v>17712.559174382164</v>
      </c>
      <c r="I71" s="106">
        <v>17604.088694564634</v>
      </c>
      <c r="J71" s="106">
        <v>17502.499438867544</v>
      </c>
      <c r="K71" s="106">
        <v>17407.48908882514</v>
      </c>
      <c r="L71" s="576">
        <v>17318.756834967615</v>
      </c>
      <c r="M71" s="9"/>
    </row>
    <row r="72" spans="2:13" ht="31.5" customHeight="1" thickBot="1">
      <c r="B72" s="8"/>
      <c r="C72" s="108" t="s">
        <v>92</v>
      </c>
      <c r="D72" s="109">
        <v>0.03220774893688594</v>
      </c>
      <c r="E72" s="575">
        <v>0.04408675971561493</v>
      </c>
      <c r="F72" s="110">
        <v>0.03652677377437308</v>
      </c>
      <c r="G72" s="110">
        <v>0.029416485192959696</v>
      </c>
      <c r="H72" s="110">
        <v>0.022738487708277022</v>
      </c>
      <c r="I72" s="110">
        <v>0.016475308379000797</v>
      </c>
      <c r="J72" s="110">
        <v>0.01060945688254833</v>
      </c>
      <c r="K72" s="110">
        <v>0.005123477089208128</v>
      </c>
      <c r="L72" s="577">
        <v>0</v>
      </c>
      <c r="M72" s="9"/>
    </row>
    <row r="73" spans="2:13" ht="15.75" thickBot="1">
      <c r="B73" s="8"/>
      <c r="C73" s="10"/>
      <c r="D73" s="10"/>
      <c r="E73" s="10"/>
      <c r="F73" s="10"/>
      <c r="G73" s="10"/>
      <c r="H73" s="10"/>
      <c r="I73" s="10"/>
      <c r="J73" s="10"/>
      <c r="K73" s="10"/>
      <c r="L73" s="10"/>
      <c r="M73" s="9"/>
    </row>
    <row r="74" spans="2:13" ht="39.75" customHeight="1" thickBot="1">
      <c r="B74" s="8"/>
      <c r="C74" s="349" t="s">
        <v>150</v>
      </c>
      <c r="D74" s="350"/>
      <c r="E74" s="350"/>
      <c r="F74" s="350"/>
      <c r="G74" s="350"/>
      <c r="H74" s="350"/>
      <c r="I74" s="350"/>
      <c r="J74" s="350"/>
      <c r="K74" s="350"/>
      <c r="L74" s="351"/>
      <c r="M74" s="9"/>
    </row>
    <row r="75" spans="2:13" ht="15.75" thickBot="1">
      <c r="B75" s="16"/>
      <c r="C75" s="17"/>
      <c r="D75" s="17"/>
      <c r="E75" s="17"/>
      <c r="F75" s="17"/>
      <c r="G75" s="17"/>
      <c r="H75" s="17"/>
      <c r="I75" s="17"/>
      <c r="J75" s="17"/>
      <c r="K75" s="17"/>
      <c r="L75" s="17"/>
      <c r="M75" s="111"/>
    </row>
  </sheetData>
  <sheetProtection password="E7B2" sheet="1"/>
  <mergeCells count="34">
    <mergeCell ref="C8:L8"/>
    <mergeCell ref="F14:K14"/>
    <mergeCell ref="F34:K34"/>
    <mergeCell ref="F30:L30"/>
    <mergeCell ref="F35:K35"/>
    <mergeCell ref="D3:H3"/>
    <mergeCell ref="I3:K3"/>
    <mergeCell ref="C5:L5"/>
    <mergeCell ref="C7:L7"/>
    <mergeCell ref="C10:L10"/>
    <mergeCell ref="C12:L12"/>
    <mergeCell ref="F19:K19"/>
    <mergeCell ref="F16:K16"/>
    <mergeCell ref="F28:K28"/>
    <mergeCell ref="F29:K29"/>
    <mergeCell ref="F32:K32"/>
    <mergeCell ref="F20:K20"/>
    <mergeCell ref="C74:L74"/>
    <mergeCell ref="F31:L31"/>
    <mergeCell ref="F26:K26"/>
    <mergeCell ref="F27:K27"/>
    <mergeCell ref="F15:L15"/>
    <mergeCell ref="F18:K18"/>
    <mergeCell ref="F17:K17"/>
    <mergeCell ref="F21:K21"/>
    <mergeCell ref="C37:L37"/>
    <mergeCell ref="C50:L50"/>
    <mergeCell ref="C68:L68"/>
    <mergeCell ref="F22:L22"/>
    <mergeCell ref="F23:L23"/>
    <mergeCell ref="F24:K24"/>
    <mergeCell ref="F25:K25"/>
    <mergeCell ref="C14:D35"/>
    <mergeCell ref="F33:K33"/>
  </mergeCells>
  <hyperlinks>
    <hyperlink ref="D3:H3" location="'1.Home'!A1" display="Please review disclaimer on the home tab"/>
    <hyperlink ref="C8:L8" location="assump_1" display="A comprehensive paper has been written exploring the theory behind the LCOE as it relates to electricity generated through PV technologies. For a link to this complete report, please visit the Assumptions and Sources page by clicking here."/>
  </hyperlinks>
  <printOptions/>
  <pageMargins left="0.708661417322835" right="0.708661417322835" top="0.78740157480315" bottom="0.78740157480315" header="0.31496062992126" footer="0.31496062992126"/>
  <pageSetup horizontalDpi="600" verticalDpi="600" orientation="landscape" scale="70" r:id="rId2"/>
  <headerFooter>
    <oddHeader>&amp;L&amp;F&amp;R&amp;A</oddHeader>
    <oddFooter>&amp;LLast modified by user: &amp;D&amp;R&amp;9Page &amp;P of &amp;N</oddFooter>
  </headerFooter>
  <rowBreaks count="1" manualBreakCount="1">
    <brk id="37" min="2" max="11" man="1"/>
  </rowBreaks>
  <drawing r:id="rId1"/>
</worksheet>
</file>

<file path=xl/worksheets/sheet3.xml><?xml version="1.0" encoding="utf-8"?>
<worksheet xmlns="http://schemas.openxmlformats.org/spreadsheetml/2006/main" xmlns:r="http://schemas.openxmlformats.org/officeDocument/2006/relationships">
  <dimension ref="B1:K33"/>
  <sheetViews>
    <sheetView zoomScalePageLayoutView="0" workbookViewId="0" topLeftCell="A8">
      <selection activeCell="J31" sqref="J31"/>
    </sheetView>
  </sheetViews>
  <sheetFormatPr defaultColWidth="17.140625" defaultRowHeight="12.75" customHeight="1"/>
  <cols>
    <col min="1" max="2" width="3.00390625" style="20" customWidth="1"/>
    <col min="3" max="3" width="17.140625" style="34" customWidth="1"/>
    <col min="4" max="4" width="19.7109375" style="20" customWidth="1"/>
    <col min="5" max="7" width="20.00390625" style="20" customWidth="1"/>
    <col min="8" max="8" width="13.57421875" style="20" customWidth="1"/>
    <col min="9" max="9" width="13.8515625" style="20" bestFit="1" customWidth="1"/>
    <col min="10" max="10" width="12.57421875" style="20" customWidth="1"/>
    <col min="11" max="11" width="3.140625" style="20" customWidth="1"/>
    <col min="12" max="15" width="17.140625" style="20" customWidth="1"/>
    <col min="16" max="16384" width="17.140625" style="20" customWidth="1"/>
  </cols>
  <sheetData>
    <row r="1" ht="12.75" customHeight="1" thickBot="1">
      <c r="K1" s="49"/>
    </row>
    <row r="2" spans="2:11" ht="12.75" customHeight="1">
      <c r="B2" s="21"/>
      <c r="C2" s="36"/>
      <c r="D2" s="22"/>
      <c r="E2" s="22"/>
      <c r="F2" s="22"/>
      <c r="G2" s="22"/>
      <c r="H2" s="22"/>
      <c r="I2" s="22"/>
      <c r="J2" s="22"/>
      <c r="K2" s="23"/>
    </row>
    <row r="3" spans="2:11" ht="12.75" customHeight="1">
      <c r="B3" s="24"/>
      <c r="C3" s="393" t="s">
        <v>64</v>
      </c>
      <c r="D3" s="394"/>
      <c r="E3" s="395" t="s">
        <v>65</v>
      </c>
      <c r="F3" s="396"/>
      <c r="G3" s="397"/>
      <c r="H3" s="398" t="s">
        <v>57</v>
      </c>
      <c r="I3" s="399"/>
      <c r="J3" s="25">
        <f>'1.Home'!H6</f>
        <v>41303</v>
      </c>
      <c r="K3" s="26"/>
    </row>
    <row r="4" spans="2:11" ht="12.75" customHeight="1" thickBot="1">
      <c r="B4" s="24"/>
      <c r="C4" s="38"/>
      <c r="D4" s="27"/>
      <c r="E4" s="27"/>
      <c r="F4" s="27"/>
      <c r="G4" s="27"/>
      <c r="H4" s="27"/>
      <c r="I4" s="27"/>
      <c r="J4" s="27"/>
      <c r="K4" s="26"/>
    </row>
    <row r="5" spans="2:11" ht="21.75" customHeight="1" thickBot="1">
      <c r="B5" s="24"/>
      <c r="C5" s="400" t="s">
        <v>66</v>
      </c>
      <c r="D5" s="401"/>
      <c r="E5" s="401"/>
      <c r="F5" s="401"/>
      <c r="G5" s="401"/>
      <c r="H5" s="401"/>
      <c r="I5" s="401"/>
      <c r="J5" s="402"/>
      <c r="K5" s="26"/>
    </row>
    <row r="6" spans="2:11" ht="15.75" thickBot="1">
      <c r="B6" s="24"/>
      <c r="C6" s="114"/>
      <c r="D6" s="114"/>
      <c r="E6" s="114"/>
      <c r="F6" s="114"/>
      <c r="G6" s="114"/>
      <c r="H6" s="114"/>
      <c r="I6" s="114"/>
      <c r="J6" s="114"/>
      <c r="K6" s="26"/>
    </row>
    <row r="7" spans="2:11" ht="15" customHeight="1">
      <c r="B7" s="24"/>
      <c r="C7" s="114"/>
      <c r="D7" s="409" t="s">
        <v>4</v>
      </c>
      <c r="E7" s="290" t="s">
        <v>6</v>
      </c>
      <c r="F7" s="291"/>
      <c r="G7" s="292"/>
      <c r="H7" s="403" t="s">
        <v>50</v>
      </c>
      <c r="I7" s="404"/>
      <c r="J7" s="14"/>
      <c r="K7" s="26"/>
    </row>
    <row r="8" spans="2:11" ht="15" customHeight="1" thickBot="1">
      <c r="B8" s="24"/>
      <c r="C8" s="114"/>
      <c r="D8" s="410"/>
      <c r="E8" s="302" t="s">
        <v>51</v>
      </c>
      <c r="F8" s="303"/>
      <c r="G8" s="304"/>
      <c r="H8" s="405" t="s">
        <v>52</v>
      </c>
      <c r="I8" s="406"/>
      <c r="J8" s="14"/>
      <c r="K8" s="26"/>
    </row>
    <row r="9" spans="2:11" s="55" customFormat="1" ht="15.75" thickBot="1">
      <c r="B9" s="53"/>
      <c r="C9" s="14"/>
      <c r="D9" s="14"/>
      <c r="E9" s="14"/>
      <c r="F9" s="14"/>
      <c r="G9" s="14"/>
      <c r="H9" s="14"/>
      <c r="I9" s="14"/>
      <c r="J9" s="14"/>
      <c r="K9" s="54"/>
    </row>
    <row r="10" spans="2:11" ht="30.75" thickBot="1">
      <c r="B10" s="24"/>
      <c r="C10" s="115" t="s">
        <v>9</v>
      </c>
      <c r="D10" s="411" t="s">
        <v>10</v>
      </c>
      <c r="E10" s="374"/>
      <c r="F10" s="374"/>
      <c r="G10" s="374"/>
      <c r="H10" s="375"/>
      <c r="I10" s="116" t="s">
        <v>27</v>
      </c>
      <c r="J10" s="88" t="s">
        <v>11</v>
      </c>
      <c r="K10" s="26"/>
    </row>
    <row r="11" spans="2:11" ht="15">
      <c r="B11" s="24"/>
      <c r="C11" s="117"/>
      <c r="D11" s="118" t="s">
        <v>12</v>
      </c>
      <c r="E11" s="119"/>
      <c r="F11" s="119"/>
      <c r="G11" s="119"/>
      <c r="H11" s="119"/>
      <c r="I11" s="119"/>
      <c r="J11" s="120"/>
      <c r="K11" s="26"/>
    </row>
    <row r="12" spans="2:11" s="31" customFormat="1" ht="15">
      <c r="B12" s="29"/>
      <c r="C12" s="121"/>
      <c r="D12" s="341" t="s">
        <v>45</v>
      </c>
      <c r="E12" s="341"/>
      <c r="F12" s="341"/>
      <c r="G12" s="341"/>
      <c r="H12" s="341"/>
      <c r="I12" s="77" t="s">
        <v>28</v>
      </c>
      <c r="J12" s="112">
        <v>2</v>
      </c>
      <c r="K12" s="30"/>
    </row>
    <row r="13" spans="2:11" ht="15">
      <c r="B13" s="24"/>
      <c r="C13" s="407" t="s">
        <v>106</v>
      </c>
      <c r="D13" s="341" t="s">
        <v>23</v>
      </c>
      <c r="E13" s="341"/>
      <c r="F13" s="341"/>
      <c r="G13" s="341"/>
      <c r="H13" s="341"/>
      <c r="I13" s="77" t="s">
        <v>29</v>
      </c>
      <c r="J13" s="126">
        <v>5</v>
      </c>
      <c r="K13" s="26"/>
    </row>
    <row r="14" spans="2:11" ht="15" customHeight="1">
      <c r="B14" s="24"/>
      <c r="C14" s="408"/>
      <c r="D14" s="341" t="s">
        <v>138</v>
      </c>
      <c r="E14" s="341"/>
      <c r="F14" s="341"/>
      <c r="G14" s="341"/>
      <c r="H14" s="341"/>
      <c r="I14" s="77" t="s">
        <v>30</v>
      </c>
      <c r="J14" s="90">
        <f>J13/24</f>
        <v>0.20833333333333334</v>
      </c>
      <c r="K14" s="26"/>
    </row>
    <row r="15" spans="2:11" ht="15">
      <c r="B15" s="24"/>
      <c r="C15" s="70" t="s">
        <v>107</v>
      </c>
      <c r="D15" s="341" t="s">
        <v>13</v>
      </c>
      <c r="E15" s="341"/>
      <c r="F15" s="341"/>
      <c r="G15" s="341"/>
      <c r="H15" s="341"/>
      <c r="I15" s="77" t="s">
        <v>31</v>
      </c>
      <c r="J15" s="253">
        <v>10</v>
      </c>
      <c r="K15" s="26"/>
    </row>
    <row r="16" spans="2:11" ht="15">
      <c r="B16" s="24"/>
      <c r="C16" s="70" t="s">
        <v>108</v>
      </c>
      <c r="D16" s="341" t="s">
        <v>14</v>
      </c>
      <c r="E16" s="341"/>
      <c r="F16" s="341"/>
      <c r="G16" s="341"/>
      <c r="H16" s="341"/>
      <c r="I16" s="77" t="s">
        <v>32</v>
      </c>
      <c r="J16" s="253">
        <v>30</v>
      </c>
      <c r="K16" s="26"/>
    </row>
    <row r="17" spans="2:11" ht="12.75" customHeight="1">
      <c r="B17" s="24"/>
      <c r="C17" s="70" t="s">
        <v>109</v>
      </c>
      <c r="D17" s="341" t="s">
        <v>15</v>
      </c>
      <c r="E17" s="341"/>
      <c r="F17" s="341"/>
      <c r="G17" s="341"/>
      <c r="H17" s="341"/>
      <c r="I17" s="77" t="s">
        <v>33</v>
      </c>
      <c r="J17" s="243">
        <f>0.5%</f>
        <v>0.005</v>
      </c>
      <c r="K17" s="26"/>
    </row>
    <row r="18" spans="2:11" ht="12.75" customHeight="1" thickBot="1">
      <c r="B18" s="50"/>
      <c r="C18" s="71" t="s">
        <v>110</v>
      </c>
      <c r="D18" s="359" t="s">
        <v>137</v>
      </c>
      <c r="E18" s="359"/>
      <c r="F18" s="359"/>
      <c r="G18" s="359"/>
      <c r="H18" s="359"/>
      <c r="I18" s="122" t="s">
        <v>34</v>
      </c>
      <c r="J18" s="123">
        <f>J14*24*365*J12</f>
        <v>3650</v>
      </c>
      <c r="K18" s="26"/>
    </row>
    <row r="19" spans="2:11" ht="12.75" customHeight="1" thickBot="1">
      <c r="B19" s="50"/>
      <c r="C19" s="332"/>
      <c r="D19" s="333"/>
      <c r="E19" s="333"/>
      <c r="F19" s="333"/>
      <c r="G19" s="333"/>
      <c r="H19" s="333"/>
      <c r="I19" s="333"/>
      <c r="J19" s="334"/>
      <c r="K19" s="26"/>
    </row>
    <row r="20" spans="2:11" ht="12.75" customHeight="1">
      <c r="B20" s="50"/>
      <c r="C20" s="117"/>
      <c r="D20" s="118" t="s">
        <v>70</v>
      </c>
      <c r="E20" s="119"/>
      <c r="F20" s="119"/>
      <c r="G20" s="119"/>
      <c r="H20" s="119"/>
      <c r="I20" s="119"/>
      <c r="J20" s="120"/>
      <c r="K20" s="26"/>
    </row>
    <row r="21" spans="2:11" ht="12.75" customHeight="1">
      <c r="B21" s="50"/>
      <c r="C21" s="407" t="s">
        <v>111</v>
      </c>
      <c r="D21" s="341" t="s">
        <v>127</v>
      </c>
      <c r="E21" s="341"/>
      <c r="F21" s="341"/>
      <c r="G21" s="341"/>
      <c r="H21" s="341"/>
      <c r="I21" s="77" t="s">
        <v>35</v>
      </c>
      <c r="J21" s="112">
        <v>6.5</v>
      </c>
      <c r="K21" s="26"/>
    </row>
    <row r="22" spans="2:11" ht="12.75" customHeight="1">
      <c r="B22" s="50"/>
      <c r="C22" s="408"/>
      <c r="D22" s="341" t="s">
        <v>18</v>
      </c>
      <c r="E22" s="341"/>
      <c r="F22" s="341"/>
      <c r="G22" s="341"/>
      <c r="H22" s="341"/>
      <c r="I22" s="77" t="s">
        <v>36</v>
      </c>
      <c r="J22" s="113">
        <f>J21*1000*J12</f>
        <v>13000</v>
      </c>
      <c r="K22" s="26"/>
    </row>
    <row r="23" spans="2:11" ht="12.75" customHeight="1">
      <c r="B23" s="50"/>
      <c r="C23" s="407" t="s">
        <v>112</v>
      </c>
      <c r="D23" s="341" t="s">
        <v>139</v>
      </c>
      <c r="E23" s="341"/>
      <c r="F23" s="341"/>
      <c r="G23" s="341"/>
      <c r="H23" s="341"/>
      <c r="I23" s="77" t="s">
        <v>37</v>
      </c>
      <c r="J23" s="246">
        <f>'6. Assumptions &amp; Sources'!D47*J22</f>
        <v>130</v>
      </c>
      <c r="K23" s="26"/>
    </row>
    <row r="24" spans="2:11" ht="12.75" customHeight="1">
      <c r="B24" s="50"/>
      <c r="C24" s="408"/>
      <c r="D24" s="341" t="s">
        <v>140</v>
      </c>
      <c r="E24" s="341"/>
      <c r="F24" s="341"/>
      <c r="G24" s="341"/>
      <c r="H24" s="341"/>
      <c r="I24" s="77" t="s">
        <v>38</v>
      </c>
      <c r="J24" s="93">
        <f>'6. Assumptions &amp; Sources'!D49*J22</f>
        <v>1170</v>
      </c>
      <c r="K24" s="26"/>
    </row>
    <row r="25" spans="2:11" ht="12.75" customHeight="1">
      <c r="B25" s="50"/>
      <c r="C25" s="121"/>
      <c r="D25" s="341" t="s">
        <v>24</v>
      </c>
      <c r="E25" s="341"/>
      <c r="F25" s="341"/>
      <c r="G25" s="341"/>
      <c r="H25" s="341"/>
      <c r="I25" s="77" t="s">
        <v>39</v>
      </c>
      <c r="J25" s="113">
        <v>0</v>
      </c>
      <c r="K25" s="26"/>
    </row>
    <row r="26" spans="2:11" ht="12.75" customHeight="1" thickBot="1">
      <c r="B26" s="50"/>
      <c r="C26" s="124"/>
      <c r="D26" s="359" t="s">
        <v>25</v>
      </c>
      <c r="E26" s="359"/>
      <c r="F26" s="359"/>
      <c r="G26" s="359"/>
      <c r="H26" s="359"/>
      <c r="I26" s="122" t="s">
        <v>40</v>
      </c>
      <c r="J26" s="245">
        <v>0</v>
      </c>
      <c r="K26" s="26"/>
    </row>
    <row r="27" spans="2:11" ht="12.75" customHeight="1" thickBot="1">
      <c r="B27" s="50"/>
      <c r="C27" s="332"/>
      <c r="D27" s="333"/>
      <c r="E27" s="333"/>
      <c r="F27" s="333"/>
      <c r="G27" s="333"/>
      <c r="H27" s="333"/>
      <c r="I27" s="333"/>
      <c r="J27" s="334"/>
      <c r="K27" s="26"/>
    </row>
    <row r="28" spans="2:11" ht="15">
      <c r="B28" s="50"/>
      <c r="C28" s="117"/>
      <c r="D28" s="118" t="s">
        <v>69</v>
      </c>
      <c r="E28" s="119"/>
      <c r="F28" s="119"/>
      <c r="G28" s="119"/>
      <c r="H28" s="119"/>
      <c r="I28" s="119"/>
      <c r="J28" s="120"/>
      <c r="K28" s="26"/>
    </row>
    <row r="29" spans="2:11" ht="12.75" customHeight="1">
      <c r="B29" s="50"/>
      <c r="C29" s="70" t="s">
        <v>114</v>
      </c>
      <c r="D29" s="341" t="s">
        <v>77</v>
      </c>
      <c r="E29" s="341"/>
      <c r="F29" s="341"/>
      <c r="G29" s="341"/>
      <c r="H29" s="341"/>
      <c r="I29" s="77" t="s">
        <v>41</v>
      </c>
      <c r="J29" s="243">
        <v>0.03</v>
      </c>
      <c r="K29" s="26"/>
    </row>
    <row r="30" spans="2:11" ht="12.75" customHeight="1">
      <c r="B30" s="50"/>
      <c r="C30" s="70" t="s">
        <v>115</v>
      </c>
      <c r="D30" s="341" t="s">
        <v>76</v>
      </c>
      <c r="E30" s="341"/>
      <c r="F30" s="341"/>
      <c r="G30" s="341"/>
      <c r="H30" s="341"/>
      <c r="I30" s="77" t="s">
        <v>42</v>
      </c>
      <c r="J30" s="127">
        <v>0.024</v>
      </c>
      <c r="K30" s="26"/>
    </row>
    <row r="31" spans="2:11" ht="12.75" customHeight="1">
      <c r="B31" s="50"/>
      <c r="C31" s="121"/>
      <c r="D31" s="341" t="s">
        <v>151</v>
      </c>
      <c r="E31" s="341"/>
      <c r="F31" s="341"/>
      <c r="G31" s="341"/>
      <c r="H31" s="341"/>
      <c r="I31" s="77" t="s">
        <v>43</v>
      </c>
      <c r="J31" s="128">
        <v>2600</v>
      </c>
      <c r="K31" s="26"/>
    </row>
    <row r="32" spans="2:11" ht="12.75" customHeight="1" thickBot="1">
      <c r="B32" s="50"/>
      <c r="C32" s="72" t="s">
        <v>113</v>
      </c>
      <c r="D32" s="359" t="s">
        <v>126</v>
      </c>
      <c r="E32" s="359"/>
      <c r="F32" s="359"/>
      <c r="G32" s="359"/>
      <c r="H32" s="359"/>
      <c r="I32" s="125" t="s">
        <v>44</v>
      </c>
      <c r="J32" s="244">
        <v>13</v>
      </c>
      <c r="K32" s="26"/>
    </row>
    <row r="33" spans="2:11" ht="12.75" customHeight="1" thickBot="1">
      <c r="B33" s="51"/>
      <c r="C33" s="47"/>
      <c r="D33" s="32"/>
      <c r="E33" s="32"/>
      <c r="F33" s="32"/>
      <c r="G33" s="32"/>
      <c r="H33" s="32"/>
      <c r="I33" s="32"/>
      <c r="J33" s="32"/>
      <c r="K33" s="33"/>
    </row>
  </sheetData>
  <sheetProtection password="E7B2" sheet="1"/>
  <mergeCells count="32">
    <mergeCell ref="D15:H15"/>
    <mergeCell ref="C21:C22"/>
    <mergeCell ref="D25:H25"/>
    <mergeCell ref="D10:H10"/>
    <mergeCell ref="D12:H12"/>
    <mergeCell ref="D13:H13"/>
    <mergeCell ref="D26:H26"/>
    <mergeCell ref="D29:H29"/>
    <mergeCell ref="C19:J19"/>
    <mergeCell ref="C27:J27"/>
    <mergeCell ref="C13:C14"/>
    <mergeCell ref="D14:H14"/>
    <mergeCell ref="H7:I7"/>
    <mergeCell ref="H8:I8"/>
    <mergeCell ref="C23:C24"/>
    <mergeCell ref="D18:H18"/>
    <mergeCell ref="D32:H32"/>
    <mergeCell ref="E7:G7"/>
    <mergeCell ref="E8:G8"/>
    <mergeCell ref="D7:D8"/>
    <mergeCell ref="D23:H23"/>
    <mergeCell ref="D24:H24"/>
    <mergeCell ref="D16:H16"/>
    <mergeCell ref="D17:H17"/>
    <mergeCell ref="D31:H31"/>
    <mergeCell ref="D30:H30"/>
    <mergeCell ref="C3:D3"/>
    <mergeCell ref="E3:G3"/>
    <mergeCell ref="H3:I3"/>
    <mergeCell ref="C5:J5"/>
    <mergeCell ref="D21:H21"/>
    <mergeCell ref="D22:H22"/>
  </mergeCells>
  <hyperlinks>
    <hyperlink ref="C13:C14" location="assump_2" display="assump_2"/>
    <hyperlink ref="C15" location="assump_3" display="assump_3"/>
    <hyperlink ref="C16" location="assump_4" display="assump_4"/>
    <hyperlink ref="C17" location="assump_5" display="assump_5"/>
    <hyperlink ref="C18" location="assump_6" display="assump_6"/>
    <hyperlink ref="C21:C22" location="assump_7" display="assump_7"/>
    <hyperlink ref="C23:C24" location="assump_8" display="assump_8"/>
    <hyperlink ref="C29" location="assump_9" display="assump_9"/>
    <hyperlink ref="C30" location="assump_10" display="assump_10"/>
    <hyperlink ref="C32" location="assump_11" display="assump_11"/>
    <hyperlink ref="E3:G3" location="'1.Home'!A1" display="Please review disclaimer on the Home tab"/>
  </hyperlinks>
  <printOptions/>
  <pageMargins left="0.751968503937008" right="0.751968503937008" top="1" bottom="1" header="0.5" footer="0.5"/>
  <pageSetup horizontalDpi="300" verticalDpi="300" orientation="landscape" paperSize="9" scale="85" r:id="rId1"/>
  <headerFooter alignWithMargins="0">
    <oddHeader>&amp;L&amp;F&amp;R&amp;A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dimension ref="B1:M57"/>
  <sheetViews>
    <sheetView tabSelected="1" zoomScalePageLayoutView="0" workbookViewId="0" topLeftCell="A12">
      <selection activeCell="N53" sqref="N53"/>
    </sheetView>
  </sheetViews>
  <sheetFormatPr defaultColWidth="9.140625" defaultRowHeight="15"/>
  <cols>
    <col min="1" max="1" width="2.8515625" style="20" customWidth="1"/>
    <col min="2" max="2" width="3.00390625" style="20" customWidth="1"/>
    <col min="3" max="3" width="44.57421875" style="20" bestFit="1" customWidth="1"/>
    <col min="4" max="12" width="12.8515625" style="20" customWidth="1"/>
    <col min="13" max="13" width="3.00390625" style="20" customWidth="1"/>
    <col min="14" max="16384" width="9.140625" style="20" customWidth="1"/>
  </cols>
  <sheetData>
    <row r="1" spans="4:12" ht="12.75" customHeight="1" thickBot="1">
      <c r="D1" s="28"/>
      <c r="E1" s="34"/>
      <c r="F1" s="34"/>
      <c r="G1" s="34"/>
      <c r="H1" s="34"/>
      <c r="I1" s="34"/>
      <c r="J1" s="34"/>
      <c r="K1" s="34"/>
      <c r="L1" s="34"/>
    </row>
    <row r="2" spans="2:13" ht="12.75" customHeight="1">
      <c r="B2" s="21"/>
      <c r="C2" s="22"/>
      <c r="D2" s="35"/>
      <c r="E2" s="36"/>
      <c r="F2" s="36"/>
      <c r="G2" s="36"/>
      <c r="H2" s="36"/>
      <c r="I2" s="36"/>
      <c r="J2" s="36"/>
      <c r="K2" s="36"/>
      <c r="L2" s="36"/>
      <c r="M2" s="23"/>
    </row>
    <row r="3" spans="2:13" ht="12.75" customHeight="1">
      <c r="B3" s="24"/>
      <c r="C3" s="73" t="s">
        <v>64</v>
      </c>
      <c r="D3" s="418" t="s">
        <v>67</v>
      </c>
      <c r="E3" s="419"/>
      <c r="F3" s="419"/>
      <c r="G3" s="419"/>
      <c r="H3" s="420"/>
      <c r="I3" s="399" t="s">
        <v>57</v>
      </c>
      <c r="J3" s="399"/>
      <c r="K3" s="399"/>
      <c r="L3" s="25">
        <f>'1.Home'!H6</f>
        <v>41303</v>
      </c>
      <c r="M3" s="26"/>
    </row>
    <row r="4" spans="2:13" ht="12.75" customHeight="1" thickBot="1">
      <c r="B4" s="24"/>
      <c r="C4" s="27"/>
      <c r="D4" s="37"/>
      <c r="E4" s="38"/>
      <c r="F4" s="38"/>
      <c r="G4" s="38"/>
      <c r="H4" s="38"/>
      <c r="I4" s="38"/>
      <c r="J4" s="38"/>
      <c r="K4" s="38"/>
      <c r="L4" s="38"/>
      <c r="M4" s="26"/>
    </row>
    <row r="5" spans="2:13" ht="20.25" customHeight="1" thickBot="1">
      <c r="B5" s="24"/>
      <c r="C5" s="412" t="s">
        <v>71</v>
      </c>
      <c r="D5" s="413"/>
      <c r="E5" s="413"/>
      <c r="F5" s="413"/>
      <c r="G5" s="413"/>
      <c r="H5" s="413"/>
      <c r="I5" s="413"/>
      <c r="J5" s="413"/>
      <c r="K5" s="413"/>
      <c r="L5" s="414"/>
      <c r="M5" s="26"/>
    </row>
    <row r="6" spans="2:13" ht="37.5" customHeight="1" thickBot="1">
      <c r="B6" s="39"/>
      <c r="C6" s="415" t="str">
        <f>"The interest paid on money financed for the PV project is the most significant variable in determining the project's LCOE. In this project, a custom term of "&amp;'3.Inputs'!J32&amp;" years was selected. The LCOE for this custom term is compared with the default loan terms calculated at 5-year increments from 5 to 40 year loans."</f>
        <v>The interest paid on money financed for the PV project is the most significant variable in determining the project's LCOE. In this project, a custom term of 13 years was selected. The LCOE for this custom term is compared with the default loan terms calculated at 5-year increments from 5 to 40 year loans.</v>
      </c>
      <c r="D6" s="416"/>
      <c r="E6" s="416"/>
      <c r="F6" s="416"/>
      <c r="G6" s="416"/>
      <c r="H6" s="416"/>
      <c r="I6" s="416"/>
      <c r="J6" s="416"/>
      <c r="K6" s="416"/>
      <c r="L6" s="417"/>
      <c r="M6" s="40"/>
    </row>
    <row r="7" spans="2:13" ht="13.5" thickBot="1">
      <c r="B7" s="39"/>
      <c r="C7" s="59"/>
      <c r="D7" s="59"/>
      <c r="E7" s="59"/>
      <c r="F7" s="59"/>
      <c r="G7" s="59"/>
      <c r="H7" s="59"/>
      <c r="I7" s="59"/>
      <c r="J7" s="59"/>
      <c r="K7" s="59"/>
      <c r="L7" s="59"/>
      <c r="M7" s="40"/>
    </row>
    <row r="8" spans="2:13" ht="15">
      <c r="B8" s="39"/>
      <c r="C8" s="59"/>
      <c r="D8" s="421" t="s">
        <v>4</v>
      </c>
      <c r="E8" s="422"/>
      <c r="F8" s="427" t="s">
        <v>99</v>
      </c>
      <c r="G8" s="427"/>
      <c r="H8" s="129"/>
      <c r="I8" s="59"/>
      <c r="J8" s="59"/>
      <c r="K8" s="59"/>
      <c r="L8" s="59"/>
      <c r="M8" s="40"/>
    </row>
    <row r="9" spans="2:13" ht="15">
      <c r="B9" s="39"/>
      <c r="C9" s="59"/>
      <c r="D9" s="423"/>
      <c r="E9" s="424"/>
      <c r="F9" s="428" t="s">
        <v>97</v>
      </c>
      <c r="G9" s="428"/>
      <c r="H9" s="130"/>
      <c r="I9" s="59"/>
      <c r="J9" s="59"/>
      <c r="K9" s="59"/>
      <c r="L9" s="59"/>
      <c r="M9" s="40"/>
    </row>
    <row r="10" spans="2:13" ht="15.75" thickBot="1">
      <c r="B10" s="39"/>
      <c r="C10" s="59"/>
      <c r="D10" s="425"/>
      <c r="E10" s="426"/>
      <c r="F10" s="429" t="s">
        <v>98</v>
      </c>
      <c r="G10" s="429"/>
      <c r="H10" s="131"/>
      <c r="I10" s="59"/>
      <c r="J10" s="59"/>
      <c r="K10" s="59"/>
      <c r="L10" s="59"/>
      <c r="M10" s="40"/>
    </row>
    <row r="11" spans="2:13" ht="13.5" thickBot="1">
      <c r="B11" s="39"/>
      <c r="C11" s="41"/>
      <c r="D11" s="41"/>
      <c r="E11" s="41"/>
      <c r="F11" s="41"/>
      <c r="G11" s="41"/>
      <c r="H11" s="41"/>
      <c r="I11" s="41"/>
      <c r="J11" s="41"/>
      <c r="K11" s="41"/>
      <c r="L11" s="41"/>
      <c r="M11" s="40"/>
    </row>
    <row r="12" spans="2:13" ht="15.75" thickBot="1">
      <c r="B12" s="39"/>
      <c r="C12" s="132" t="s">
        <v>94</v>
      </c>
      <c r="D12" s="133">
        <f>loanterm1</f>
        <v>13</v>
      </c>
      <c r="E12" s="134">
        <v>5</v>
      </c>
      <c r="F12" s="134">
        <v>10</v>
      </c>
      <c r="G12" s="134">
        <v>15</v>
      </c>
      <c r="H12" s="134">
        <v>20</v>
      </c>
      <c r="I12" s="134">
        <v>25</v>
      </c>
      <c r="J12" s="134">
        <v>30</v>
      </c>
      <c r="K12" s="134">
        <v>35</v>
      </c>
      <c r="L12" s="135">
        <v>40</v>
      </c>
      <c r="M12" s="40"/>
    </row>
    <row r="13" spans="2:13" ht="15.75" thickBot="1">
      <c r="B13" s="39"/>
      <c r="C13" s="136" t="s">
        <v>88</v>
      </c>
      <c r="D13" s="137">
        <f>'5.Projected Savings'!D9</f>
        <v>0.2196573925441215</v>
      </c>
      <c r="E13" s="137">
        <f>'5.Projected Savings'!E9</f>
        <v>0.2221852872788264</v>
      </c>
      <c r="F13" s="137">
        <f>'5.Projected Savings'!F9</f>
        <v>0.22057649602412624</v>
      </c>
      <c r="G13" s="137">
        <f>'5.Projected Savings'!G9</f>
        <v>0.21906340192883572</v>
      </c>
      <c r="H13" s="137">
        <f>'5.Projected Savings'!H9</f>
        <v>0.21764230087973743</v>
      </c>
      <c r="I13" s="137">
        <f>'5.Projected Savings'!I9</f>
        <v>0.2163094745742558</v>
      </c>
      <c r="J13" s="137">
        <f>'5.Projected Savings'!J9</f>
        <v>0.2150612010110232</v>
      </c>
      <c r="K13" s="137">
        <f>'5.Projected Savings'!K9</f>
        <v>0.21389376546503358</v>
      </c>
      <c r="L13" s="138">
        <f>'5.Projected Savings'!L9</f>
        <v>0.2128034717530031</v>
      </c>
      <c r="M13" s="40"/>
    </row>
    <row r="14" spans="2:13" ht="12.75">
      <c r="B14" s="39"/>
      <c r="C14" s="41"/>
      <c r="D14" s="41"/>
      <c r="E14" s="41"/>
      <c r="F14" s="41"/>
      <c r="G14" s="41"/>
      <c r="H14" s="41"/>
      <c r="I14" s="41"/>
      <c r="J14" s="41"/>
      <c r="K14" s="41"/>
      <c r="L14" s="41"/>
      <c r="M14" s="40"/>
    </row>
    <row r="15" spans="2:13" ht="12.75">
      <c r="B15" s="39"/>
      <c r="C15" s="41"/>
      <c r="D15" s="41"/>
      <c r="E15" s="41"/>
      <c r="F15" s="41"/>
      <c r="G15" s="41"/>
      <c r="H15" s="41"/>
      <c r="I15" s="41"/>
      <c r="J15" s="41"/>
      <c r="K15" s="41"/>
      <c r="L15" s="41"/>
      <c r="M15" s="40"/>
    </row>
    <row r="16" spans="2:13" ht="12.75">
      <c r="B16" s="39"/>
      <c r="C16" s="41"/>
      <c r="D16" s="41"/>
      <c r="E16" s="41"/>
      <c r="F16" s="41"/>
      <c r="G16" s="41"/>
      <c r="H16" s="41"/>
      <c r="I16" s="41"/>
      <c r="J16" s="41"/>
      <c r="K16" s="41"/>
      <c r="L16" s="41"/>
      <c r="M16" s="40"/>
    </row>
    <row r="17" spans="2:13" ht="12.75">
      <c r="B17" s="39"/>
      <c r="C17" s="41"/>
      <c r="D17" s="41"/>
      <c r="E17" s="41"/>
      <c r="F17" s="41"/>
      <c r="G17" s="41"/>
      <c r="H17" s="41"/>
      <c r="I17" s="41"/>
      <c r="J17" s="41"/>
      <c r="K17" s="41"/>
      <c r="L17" s="41"/>
      <c r="M17" s="40"/>
    </row>
    <row r="18" spans="2:13" ht="12.75">
      <c r="B18" s="39"/>
      <c r="C18" s="41"/>
      <c r="D18" s="41"/>
      <c r="E18" s="41"/>
      <c r="F18" s="41"/>
      <c r="G18" s="41"/>
      <c r="H18" s="41"/>
      <c r="I18" s="41"/>
      <c r="J18" s="41"/>
      <c r="K18" s="41"/>
      <c r="L18" s="41"/>
      <c r="M18" s="40"/>
    </row>
    <row r="19" spans="2:13" ht="12.75">
      <c r="B19" s="39"/>
      <c r="C19" s="41"/>
      <c r="D19" s="41"/>
      <c r="E19" s="41"/>
      <c r="F19" s="41"/>
      <c r="G19" s="41"/>
      <c r="H19" s="41"/>
      <c r="I19" s="41"/>
      <c r="J19" s="41"/>
      <c r="K19" s="41"/>
      <c r="L19" s="41"/>
      <c r="M19" s="40"/>
    </row>
    <row r="20" spans="2:13" ht="12.75">
      <c r="B20" s="39"/>
      <c r="C20" s="41"/>
      <c r="D20" s="41"/>
      <c r="E20" s="41"/>
      <c r="F20" s="41"/>
      <c r="G20" s="41"/>
      <c r="H20" s="41"/>
      <c r="I20" s="41"/>
      <c r="J20" s="41"/>
      <c r="K20" s="41"/>
      <c r="L20" s="41"/>
      <c r="M20" s="40"/>
    </row>
    <row r="21" spans="2:13" ht="12.75">
      <c r="B21" s="39"/>
      <c r="C21" s="41"/>
      <c r="D21" s="41"/>
      <c r="E21" s="41"/>
      <c r="F21" s="41"/>
      <c r="G21" s="41"/>
      <c r="H21" s="41"/>
      <c r="I21" s="41"/>
      <c r="J21" s="41"/>
      <c r="K21" s="41"/>
      <c r="L21" s="41"/>
      <c r="M21" s="40"/>
    </row>
    <row r="22" spans="2:13" ht="12.75">
      <c r="B22" s="39"/>
      <c r="C22" s="41"/>
      <c r="D22" s="41"/>
      <c r="E22" s="41"/>
      <c r="F22" s="41"/>
      <c r="G22" s="41"/>
      <c r="H22" s="41"/>
      <c r="I22" s="41"/>
      <c r="J22" s="41"/>
      <c r="K22" s="41"/>
      <c r="L22" s="41"/>
      <c r="M22" s="40"/>
    </row>
    <row r="23" spans="2:13" ht="12.75">
      <c r="B23" s="39"/>
      <c r="C23" s="41"/>
      <c r="D23" s="41"/>
      <c r="E23" s="41"/>
      <c r="F23" s="41"/>
      <c r="G23" s="41"/>
      <c r="H23" s="41"/>
      <c r="I23" s="41"/>
      <c r="J23" s="41"/>
      <c r="K23" s="41"/>
      <c r="L23" s="41"/>
      <c r="M23" s="40"/>
    </row>
    <row r="24" spans="2:13" ht="12.75">
      <c r="B24" s="39"/>
      <c r="C24" s="41"/>
      <c r="D24" s="41"/>
      <c r="E24" s="41"/>
      <c r="F24" s="41"/>
      <c r="G24" s="41"/>
      <c r="H24" s="41"/>
      <c r="I24" s="41"/>
      <c r="J24" s="41"/>
      <c r="K24" s="41"/>
      <c r="L24" s="41"/>
      <c r="M24" s="40"/>
    </row>
    <row r="25" spans="2:13" ht="12.75">
      <c r="B25" s="39"/>
      <c r="C25" s="41"/>
      <c r="D25" s="41"/>
      <c r="E25" s="41"/>
      <c r="F25" s="41"/>
      <c r="G25" s="41"/>
      <c r="H25" s="41"/>
      <c r="I25" s="41"/>
      <c r="J25" s="41"/>
      <c r="K25" s="41"/>
      <c r="L25" s="41"/>
      <c r="M25" s="40"/>
    </row>
    <row r="26" spans="2:13" ht="12.75">
      <c r="B26" s="39"/>
      <c r="C26" s="41"/>
      <c r="D26" s="41"/>
      <c r="E26" s="41"/>
      <c r="F26" s="41"/>
      <c r="G26" s="41"/>
      <c r="H26" s="41"/>
      <c r="I26" s="41"/>
      <c r="J26" s="41"/>
      <c r="K26" s="41"/>
      <c r="L26" s="41"/>
      <c r="M26" s="40"/>
    </row>
    <row r="27" spans="2:13" ht="12.75">
      <c r="B27" s="39"/>
      <c r="C27" s="41"/>
      <c r="D27" s="41"/>
      <c r="E27" s="41"/>
      <c r="F27" s="41"/>
      <c r="G27" s="41"/>
      <c r="H27" s="41"/>
      <c r="I27" s="41"/>
      <c r="J27" s="41"/>
      <c r="K27" s="41"/>
      <c r="L27" s="41"/>
      <c r="M27" s="40"/>
    </row>
    <row r="28" spans="2:13" ht="12.75">
      <c r="B28" s="39"/>
      <c r="C28" s="41"/>
      <c r="D28" s="41"/>
      <c r="E28" s="41"/>
      <c r="F28" s="41"/>
      <c r="G28" s="41"/>
      <c r="H28" s="41"/>
      <c r="I28" s="41"/>
      <c r="J28" s="41"/>
      <c r="K28" s="41"/>
      <c r="L28" s="41"/>
      <c r="M28" s="40"/>
    </row>
    <row r="29" spans="2:13" ht="12.75">
      <c r="B29" s="39"/>
      <c r="C29" s="41"/>
      <c r="D29" s="41"/>
      <c r="E29" s="41"/>
      <c r="F29" s="41"/>
      <c r="G29" s="41"/>
      <c r="H29" s="41"/>
      <c r="I29" s="41"/>
      <c r="J29" s="41"/>
      <c r="K29" s="41"/>
      <c r="L29" s="41"/>
      <c r="M29" s="40"/>
    </row>
    <row r="30" spans="2:13" ht="13.5" thickBot="1">
      <c r="B30" s="39"/>
      <c r="C30" s="41"/>
      <c r="D30" s="41"/>
      <c r="E30" s="41"/>
      <c r="F30" s="41"/>
      <c r="G30" s="41"/>
      <c r="H30" s="41"/>
      <c r="I30" s="41"/>
      <c r="J30" s="41"/>
      <c r="K30" s="41"/>
      <c r="L30" s="41"/>
      <c r="M30" s="40"/>
    </row>
    <row r="31" spans="2:13" ht="15.75" thickBot="1">
      <c r="B31" s="39"/>
      <c r="C31" s="132" t="s">
        <v>94</v>
      </c>
      <c r="D31" s="133">
        <f>loanterm1</f>
        <v>13</v>
      </c>
      <c r="E31" s="134">
        <v>5</v>
      </c>
      <c r="F31" s="134">
        <v>10</v>
      </c>
      <c r="G31" s="134">
        <v>15</v>
      </c>
      <c r="H31" s="134">
        <v>20</v>
      </c>
      <c r="I31" s="134">
        <v>25</v>
      </c>
      <c r="J31" s="134">
        <v>30</v>
      </c>
      <c r="K31" s="134">
        <v>35</v>
      </c>
      <c r="L31" s="135">
        <v>40</v>
      </c>
      <c r="M31" s="26"/>
    </row>
    <row r="32" spans="2:13" ht="15" customHeight="1">
      <c r="B32" s="39"/>
      <c r="C32" s="139" t="s">
        <v>91</v>
      </c>
      <c r="D32" s="106">
        <f>'5.Projected Savings'!D12</f>
        <v>17876.555007007228</v>
      </c>
      <c r="E32" s="106">
        <f>'5.Projected Savings'!E12</f>
        <v>18082.284706123995</v>
      </c>
      <c r="F32" s="106">
        <f>'5.Projected Savings'!F12</f>
        <v>17951.355147931856</v>
      </c>
      <c r="G32" s="106">
        <f>'5.Projected Savings'!G12</f>
        <v>17828.21378896391</v>
      </c>
      <c r="H32" s="106">
        <f>'5.Projected Savings'!H12</f>
        <v>17712.559174382164</v>
      </c>
      <c r="I32" s="106">
        <f>'5.Projected Savings'!I12</f>
        <v>17604.088694564634</v>
      </c>
      <c r="J32" s="106">
        <f>'5.Projected Savings'!J12</f>
        <v>17502.499438867544</v>
      </c>
      <c r="K32" s="106">
        <f>'5.Projected Savings'!K12</f>
        <v>17407.48908882514</v>
      </c>
      <c r="L32" s="107">
        <f>'5.Projected Savings'!L12</f>
        <v>17318.756834967615</v>
      </c>
      <c r="M32" s="26"/>
    </row>
    <row r="33" spans="2:13" ht="15" customHeight="1" thickBot="1">
      <c r="B33" s="39"/>
      <c r="C33" s="140" t="s">
        <v>92</v>
      </c>
      <c r="D33" s="110">
        <f>D32/MIN($D$32:$L$32)-1</f>
        <v>0.03220774893688594</v>
      </c>
      <c r="E33" s="110">
        <f aca="true" t="shared" si="0" ref="E33:L33">E32/MIN($D$32:$L$32)-1</f>
        <v>0.04408675971561493</v>
      </c>
      <c r="F33" s="110">
        <f t="shared" si="0"/>
        <v>0.03652677377437308</v>
      </c>
      <c r="G33" s="110">
        <f t="shared" si="0"/>
        <v>0.029416485192959696</v>
      </c>
      <c r="H33" s="110">
        <f t="shared" si="0"/>
        <v>0.022738487708277022</v>
      </c>
      <c r="I33" s="110">
        <f>I32/MIN($D$32:$L$32)-1</f>
        <v>0.016475308379000797</v>
      </c>
      <c r="J33" s="110">
        <f t="shared" si="0"/>
        <v>0.01060945688254833</v>
      </c>
      <c r="K33" s="110">
        <f t="shared" si="0"/>
        <v>0.005123477089208128</v>
      </c>
      <c r="L33" s="110">
        <f t="shared" si="0"/>
        <v>0</v>
      </c>
      <c r="M33" s="26"/>
    </row>
    <row r="34" spans="2:13" ht="12.75">
      <c r="B34" s="39"/>
      <c r="C34" s="27"/>
      <c r="D34" s="27"/>
      <c r="E34" s="27"/>
      <c r="F34" s="41"/>
      <c r="G34" s="41"/>
      <c r="H34" s="41"/>
      <c r="I34" s="41"/>
      <c r="J34" s="41"/>
      <c r="K34" s="41"/>
      <c r="L34" s="41"/>
      <c r="M34" s="26"/>
    </row>
    <row r="35" spans="2:13" ht="13.5" thickBot="1">
      <c r="B35" s="39"/>
      <c r="C35" s="27"/>
      <c r="D35" s="27"/>
      <c r="E35" s="27"/>
      <c r="F35" s="41"/>
      <c r="G35" s="41"/>
      <c r="H35" s="41"/>
      <c r="I35" s="41"/>
      <c r="J35" s="41"/>
      <c r="K35" s="41"/>
      <c r="L35" s="41"/>
      <c r="M35" s="40"/>
    </row>
    <row r="36" spans="2:13" ht="12.75">
      <c r="B36" s="39"/>
      <c r="C36" s="27"/>
      <c r="D36" s="61" t="s">
        <v>95</v>
      </c>
      <c r="E36" s="62" t="s">
        <v>96</v>
      </c>
      <c r="F36" s="41"/>
      <c r="G36" s="41"/>
      <c r="H36" s="41"/>
      <c r="I36" s="41"/>
      <c r="J36" s="41"/>
      <c r="K36" s="41"/>
      <c r="L36" s="41"/>
      <c r="M36" s="40"/>
    </row>
    <row r="37" spans="2:13" ht="12.75">
      <c r="B37" s="39"/>
      <c r="C37" s="27"/>
      <c r="D37" s="63">
        <f>E31</f>
        <v>5</v>
      </c>
      <c r="E37" s="64">
        <f>D32</f>
        <v>17876.555007007228</v>
      </c>
      <c r="F37" s="41"/>
      <c r="G37" s="41"/>
      <c r="H37" s="41"/>
      <c r="I37" s="41"/>
      <c r="J37" s="41"/>
      <c r="K37" s="41"/>
      <c r="L37" s="41"/>
      <c r="M37" s="40"/>
    </row>
    <row r="38" spans="2:13" ht="12.75">
      <c r="B38" s="39"/>
      <c r="C38" s="27"/>
      <c r="D38" s="63">
        <v>10</v>
      </c>
      <c r="E38" s="64">
        <f>E37</f>
        <v>17876.555007007228</v>
      </c>
      <c r="F38" s="41"/>
      <c r="G38" s="41"/>
      <c r="H38" s="41"/>
      <c r="I38" s="41"/>
      <c r="J38" s="41"/>
      <c r="K38" s="41"/>
      <c r="L38" s="41"/>
      <c r="M38" s="40"/>
    </row>
    <row r="39" spans="2:13" ht="12.75">
      <c r="B39" s="39"/>
      <c r="C39" s="27"/>
      <c r="D39" s="63">
        <v>15</v>
      </c>
      <c r="E39" s="64">
        <f aca="true" t="shared" si="1" ref="E39:E44">E38</f>
        <v>17876.555007007228</v>
      </c>
      <c r="F39" s="41"/>
      <c r="G39" s="41"/>
      <c r="H39" s="41"/>
      <c r="I39" s="41"/>
      <c r="J39" s="41"/>
      <c r="K39" s="41"/>
      <c r="L39" s="41"/>
      <c r="M39" s="40"/>
    </row>
    <row r="40" spans="2:13" ht="12.75">
      <c r="B40" s="39"/>
      <c r="C40" s="27"/>
      <c r="D40" s="63">
        <v>20</v>
      </c>
      <c r="E40" s="64">
        <f t="shared" si="1"/>
        <v>17876.555007007228</v>
      </c>
      <c r="F40" s="41"/>
      <c r="G40" s="41"/>
      <c r="H40" s="41"/>
      <c r="I40" s="41"/>
      <c r="J40" s="41"/>
      <c r="K40" s="41"/>
      <c r="L40" s="41"/>
      <c r="M40" s="40"/>
    </row>
    <row r="41" spans="2:13" ht="12.75">
      <c r="B41" s="39"/>
      <c r="C41" s="27"/>
      <c r="D41" s="63">
        <v>25</v>
      </c>
      <c r="E41" s="64">
        <f>E40</f>
        <v>17876.555007007228</v>
      </c>
      <c r="F41" s="41"/>
      <c r="G41" s="41"/>
      <c r="H41" s="41"/>
      <c r="I41" s="41"/>
      <c r="J41" s="41"/>
      <c r="K41" s="41"/>
      <c r="L41" s="41"/>
      <c r="M41" s="40"/>
    </row>
    <row r="42" spans="2:13" ht="12.75">
      <c r="B42" s="39"/>
      <c r="C42" s="27"/>
      <c r="D42" s="63">
        <v>30</v>
      </c>
      <c r="E42" s="64">
        <f t="shared" si="1"/>
        <v>17876.555007007228</v>
      </c>
      <c r="F42" s="41"/>
      <c r="G42" s="41"/>
      <c r="H42" s="41"/>
      <c r="I42" s="41"/>
      <c r="J42" s="41"/>
      <c r="K42" s="41"/>
      <c r="L42" s="41"/>
      <c r="M42" s="40"/>
    </row>
    <row r="43" spans="2:13" ht="12.75">
      <c r="B43" s="39"/>
      <c r="C43" s="27"/>
      <c r="D43" s="63">
        <v>35</v>
      </c>
      <c r="E43" s="64">
        <f t="shared" si="1"/>
        <v>17876.555007007228</v>
      </c>
      <c r="F43" s="41"/>
      <c r="G43" s="41"/>
      <c r="H43" s="41"/>
      <c r="I43" s="41"/>
      <c r="J43" s="41"/>
      <c r="K43" s="41"/>
      <c r="L43" s="41"/>
      <c r="M43" s="40"/>
    </row>
    <row r="44" spans="2:13" ht="13.5" thickBot="1">
      <c r="B44" s="39"/>
      <c r="C44" s="27"/>
      <c r="D44" s="65">
        <v>40</v>
      </c>
      <c r="E44" s="66">
        <f t="shared" si="1"/>
        <v>17876.555007007228</v>
      </c>
      <c r="F44" s="41"/>
      <c r="G44" s="41"/>
      <c r="H44" s="41"/>
      <c r="I44" s="41"/>
      <c r="J44" s="41"/>
      <c r="K44" s="41"/>
      <c r="L44" s="41"/>
      <c r="M44" s="40"/>
    </row>
    <row r="45" spans="2:13" ht="12.75">
      <c r="B45" s="39"/>
      <c r="C45" s="27"/>
      <c r="D45" s="27"/>
      <c r="E45" s="60"/>
      <c r="F45" s="41"/>
      <c r="G45" s="41"/>
      <c r="H45" s="41"/>
      <c r="I45" s="41"/>
      <c r="J45" s="41"/>
      <c r="K45" s="41"/>
      <c r="L45" s="41"/>
      <c r="M45" s="40"/>
    </row>
    <row r="46" spans="2:13" ht="12.75">
      <c r="B46" s="39"/>
      <c r="C46" s="27"/>
      <c r="D46" s="27"/>
      <c r="E46" s="60"/>
      <c r="F46" s="41"/>
      <c r="G46" s="41"/>
      <c r="H46" s="41"/>
      <c r="I46" s="41"/>
      <c r="J46" s="41"/>
      <c r="K46" s="41"/>
      <c r="L46" s="41"/>
      <c r="M46" s="40"/>
    </row>
    <row r="47" spans="2:13" ht="12.75">
      <c r="B47" s="39"/>
      <c r="C47" s="27"/>
      <c r="D47" s="27"/>
      <c r="E47" s="60"/>
      <c r="F47" s="41"/>
      <c r="G47" s="41"/>
      <c r="H47" s="41"/>
      <c r="I47" s="41"/>
      <c r="J47" s="41"/>
      <c r="K47" s="41"/>
      <c r="L47" s="41"/>
      <c r="M47" s="40"/>
    </row>
    <row r="48" spans="2:13" ht="12.75">
      <c r="B48" s="39"/>
      <c r="C48" s="27"/>
      <c r="D48" s="27"/>
      <c r="E48" s="60"/>
      <c r="F48" s="41"/>
      <c r="G48" s="41"/>
      <c r="H48" s="41"/>
      <c r="I48" s="41"/>
      <c r="J48" s="41"/>
      <c r="K48" s="41"/>
      <c r="L48" s="41"/>
      <c r="M48" s="40"/>
    </row>
    <row r="49" spans="2:13" ht="12.75">
      <c r="B49" s="39"/>
      <c r="C49" s="27"/>
      <c r="D49" s="27"/>
      <c r="E49" s="27"/>
      <c r="F49" s="41"/>
      <c r="G49" s="41"/>
      <c r="H49" s="41"/>
      <c r="I49" s="41"/>
      <c r="J49" s="41"/>
      <c r="K49" s="41"/>
      <c r="L49" s="41"/>
      <c r="M49" s="40"/>
    </row>
    <row r="50" spans="2:13" ht="12.75">
      <c r="B50" s="39"/>
      <c r="C50" s="27"/>
      <c r="D50" s="27"/>
      <c r="E50" s="27"/>
      <c r="F50" s="41"/>
      <c r="G50" s="41"/>
      <c r="H50" s="41"/>
      <c r="I50" s="41"/>
      <c r="J50" s="41"/>
      <c r="K50" s="41"/>
      <c r="L50" s="41"/>
      <c r="M50" s="40"/>
    </row>
    <row r="51" spans="2:13" ht="12.75">
      <c r="B51" s="39"/>
      <c r="C51" s="27"/>
      <c r="D51" s="27"/>
      <c r="E51" s="27"/>
      <c r="F51" s="41"/>
      <c r="G51" s="41"/>
      <c r="H51" s="41"/>
      <c r="I51" s="41"/>
      <c r="J51" s="41"/>
      <c r="K51" s="41"/>
      <c r="L51" s="41"/>
      <c r="M51" s="40"/>
    </row>
    <row r="52" spans="2:13" ht="12.75">
      <c r="B52" s="39"/>
      <c r="C52" s="41"/>
      <c r="D52" s="41"/>
      <c r="E52" s="41"/>
      <c r="F52" s="41"/>
      <c r="G52" s="41"/>
      <c r="H52" s="41"/>
      <c r="I52" s="41"/>
      <c r="J52" s="41"/>
      <c r="K52" s="41"/>
      <c r="L52" s="41"/>
      <c r="M52" s="40"/>
    </row>
    <row r="53" spans="2:13" ht="12.75">
      <c r="B53" s="39"/>
      <c r="C53" s="41"/>
      <c r="D53" s="41"/>
      <c r="E53" s="41"/>
      <c r="F53" s="41"/>
      <c r="G53" s="41"/>
      <c r="H53" s="41"/>
      <c r="I53" s="41"/>
      <c r="J53" s="41"/>
      <c r="K53" s="41"/>
      <c r="L53" s="41"/>
      <c r="M53" s="40"/>
    </row>
    <row r="54" spans="2:13" ht="12.75">
      <c r="B54" s="39"/>
      <c r="C54" s="41"/>
      <c r="D54" s="41"/>
      <c r="E54" s="41"/>
      <c r="F54" s="41"/>
      <c r="G54" s="41"/>
      <c r="H54" s="41"/>
      <c r="I54" s="41"/>
      <c r="J54" s="41"/>
      <c r="K54" s="41"/>
      <c r="L54" s="41"/>
      <c r="M54" s="40"/>
    </row>
    <row r="55" spans="2:13" ht="13.5" thickBot="1">
      <c r="B55" s="39"/>
      <c r="C55" s="41"/>
      <c r="D55" s="41"/>
      <c r="E55" s="41"/>
      <c r="F55" s="41"/>
      <c r="G55" s="41"/>
      <c r="H55" s="41"/>
      <c r="I55" s="41"/>
      <c r="J55" s="41"/>
      <c r="K55" s="41"/>
      <c r="L55" s="41"/>
      <c r="M55" s="40"/>
    </row>
    <row r="56" spans="2:13" ht="26.25" customHeight="1" thickBot="1">
      <c r="B56" s="39"/>
      <c r="C56" s="415" t="str">
        <f>"Therefore, the LCOE of your PV installation is "&amp;TEXT(D13,"$0.###")&amp;" based on a "&amp;'3.Inputs'!J32&amp;" year loan on "&amp;TEXT('3.Inputs'!J22-'3.Inputs'!J31,"$#,###")&amp;". The LCOE could be reduced to "&amp;TEXT(MIN(E13:L13),"$0.###")&amp;" by modifying the term of your loan to "&amp;TEXT(HLOOKUP(MIN(E13:L13),E13:L31,19,FALSE),"#")&amp;" years, resulting in the lowest possible LCOE for your PV system."</f>
        <v>Therefore, the LCOE of your PV installation is $0.22 based on a 13 year loan on $10,400. The LCOE could be reduced to $0.213 by modifying the term of your loan to 40 years, resulting in the lowest possible LCOE for your PV system.</v>
      </c>
      <c r="D56" s="416"/>
      <c r="E56" s="416"/>
      <c r="F56" s="416"/>
      <c r="G56" s="416"/>
      <c r="H56" s="416"/>
      <c r="I56" s="416"/>
      <c r="J56" s="416"/>
      <c r="K56" s="416"/>
      <c r="L56" s="417"/>
      <c r="M56" s="40"/>
    </row>
    <row r="57" spans="2:13" ht="13.5" thickBot="1">
      <c r="B57" s="42"/>
      <c r="C57" s="43"/>
      <c r="D57" s="43"/>
      <c r="E57" s="43"/>
      <c r="F57" s="43"/>
      <c r="G57" s="43"/>
      <c r="H57" s="43"/>
      <c r="I57" s="43"/>
      <c r="J57" s="43"/>
      <c r="K57" s="43"/>
      <c r="L57" s="43"/>
      <c r="M57" s="44"/>
    </row>
  </sheetData>
  <sheetProtection password="E7B2" sheet="1"/>
  <mergeCells count="9">
    <mergeCell ref="C5:L5"/>
    <mergeCell ref="C6:L6"/>
    <mergeCell ref="C56:L56"/>
    <mergeCell ref="I3:K3"/>
    <mergeCell ref="D3:H3"/>
    <mergeCell ref="D8:E10"/>
    <mergeCell ref="F8:G8"/>
    <mergeCell ref="F9:G9"/>
    <mergeCell ref="F10:G10"/>
  </mergeCells>
  <conditionalFormatting sqref="D13:L13">
    <cfRule type="top10" priority="2" dxfId="2" stopIfTrue="1" rank="1" bottom="1"/>
  </conditionalFormatting>
  <conditionalFormatting sqref="H10">
    <cfRule type="top10" priority="1" dxfId="2" stopIfTrue="1" rank="1" bottom="1"/>
  </conditionalFormatting>
  <printOptions/>
  <pageMargins left="0.751968503937008" right="0.751968503937008" top="1" bottom="1" header="0.5" footer="0.5"/>
  <pageSetup fitToHeight="2" horizontalDpi="300" verticalDpi="300" orientation="landscape" paperSize="9" scale="79" r:id="rId2"/>
  <headerFooter alignWithMargins="0">
    <oddHeader>&amp;L&amp;F&amp;R&amp;A</oddHeader>
    <oddFooter>&amp;LLast modified by user: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AN118"/>
  <sheetViews>
    <sheetView zoomScalePageLayoutView="0" workbookViewId="0" topLeftCell="A6">
      <selection activeCell="N9" sqref="N9"/>
    </sheetView>
  </sheetViews>
  <sheetFormatPr defaultColWidth="17.140625" defaultRowHeight="12.75" customHeight="1"/>
  <cols>
    <col min="1" max="2" width="3.00390625" style="20" customWidth="1"/>
    <col min="3" max="3" width="21.421875" style="34" customWidth="1"/>
    <col min="4" max="4" width="19.421875" style="34" customWidth="1"/>
    <col min="5" max="5" width="19.421875" style="28" customWidth="1"/>
    <col min="6" max="13" width="14.28125" style="28" customWidth="1"/>
    <col min="14" max="34" width="14.28125" style="34" customWidth="1"/>
    <col min="35" max="35" width="3.00390625" style="34" customWidth="1"/>
    <col min="36" max="36" width="3.00390625" style="1" customWidth="1"/>
    <col min="37" max="40" width="17.140625" style="1" customWidth="1"/>
    <col min="41" max="46" width="17.140625" style="20" customWidth="1"/>
    <col min="47" max="16384" width="17.140625" style="20" customWidth="1"/>
  </cols>
  <sheetData>
    <row r="1" ht="12.75" customHeight="1" thickBot="1">
      <c r="AJ1" s="14"/>
    </row>
    <row r="2" spans="2:40" ht="12.75" customHeight="1">
      <c r="B2" s="21"/>
      <c r="C2" s="36"/>
      <c r="D2" s="36"/>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6"/>
      <c r="AH2" s="36"/>
      <c r="AI2" s="4"/>
      <c r="AN2" s="20"/>
    </row>
    <row r="3" spans="2:40" ht="12.75" customHeight="1">
      <c r="B3" s="24"/>
      <c r="C3" s="393" t="s">
        <v>64</v>
      </c>
      <c r="D3" s="394"/>
      <c r="E3" s="395"/>
      <c r="F3" s="396"/>
      <c r="G3" s="396"/>
      <c r="H3" s="396"/>
      <c r="I3" s="396"/>
      <c r="J3" s="396"/>
      <c r="K3" s="396"/>
      <c r="L3" s="396"/>
      <c r="M3" s="396"/>
      <c r="N3" s="396"/>
      <c r="O3" s="396"/>
      <c r="P3" s="396"/>
      <c r="Q3" s="396"/>
      <c r="R3" s="396"/>
      <c r="S3" s="396"/>
      <c r="T3" s="396"/>
      <c r="U3" s="396"/>
      <c r="V3" s="396"/>
      <c r="W3" s="396"/>
      <c r="X3" s="396"/>
      <c r="Y3" s="396"/>
      <c r="Z3" s="396"/>
      <c r="AA3" s="396"/>
      <c r="AB3" s="396"/>
      <c r="AC3" s="396"/>
      <c r="AD3" s="399" t="s">
        <v>57</v>
      </c>
      <c r="AE3" s="399"/>
      <c r="AF3" s="440"/>
      <c r="AG3" s="56">
        <f>'1.Home'!H6</f>
        <v>41303</v>
      </c>
      <c r="AH3" s="25"/>
      <c r="AI3" s="6"/>
      <c r="AN3" s="20"/>
    </row>
    <row r="4" spans="2:40" ht="12.75" customHeight="1" thickBot="1">
      <c r="B4" s="24"/>
      <c r="C4" s="38"/>
      <c r="D4" s="38"/>
      <c r="E4" s="37"/>
      <c r="F4" s="37"/>
      <c r="G4" s="37"/>
      <c r="H4" s="37"/>
      <c r="I4" s="37"/>
      <c r="J4" s="37"/>
      <c r="K4" s="37"/>
      <c r="L4" s="37"/>
      <c r="M4" s="37"/>
      <c r="N4" s="38"/>
      <c r="O4" s="38"/>
      <c r="P4" s="38"/>
      <c r="Q4" s="38"/>
      <c r="R4" s="38"/>
      <c r="S4" s="38"/>
      <c r="T4" s="38"/>
      <c r="U4" s="38"/>
      <c r="V4" s="38"/>
      <c r="W4" s="38"/>
      <c r="X4" s="38"/>
      <c r="Y4" s="38"/>
      <c r="Z4" s="38"/>
      <c r="AA4" s="38"/>
      <c r="AB4" s="38"/>
      <c r="AC4" s="38"/>
      <c r="AD4" s="38"/>
      <c r="AE4" s="38"/>
      <c r="AF4" s="38"/>
      <c r="AG4" s="38"/>
      <c r="AH4" s="38"/>
      <c r="AI4" s="6"/>
      <c r="AN4" s="20"/>
    </row>
    <row r="5" spans="2:40" ht="20.25" customHeight="1" thickBot="1">
      <c r="B5" s="24"/>
      <c r="C5" s="412" t="s">
        <v>68</v>
      </c>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4"/>
      <c r="AI5" s="6"/>
      <c r="AN5" s="20"/>
    </row>
    <row r="6" spans="2:40" ht="15.75" thickBot="1">
      <c r="B6" s="2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
      <c r="AN6" s="20"/>
    </row>
    <row r="7" spans="2:40" ht="30.75" thickBot="1">
      <c r="B7" s="24"/>
      <c r="C7" s="144" t="s">
        <v>89</v>
      </c>
      <c r="D7" s="145" t="str">
        <f>"Custom Loan Term ("&amp;loanterm1&amp;" years)"</f>
        <v>Custom Loan Term (13 years)</v>
      </c>
      <c r="E7" s="146" t="s">
        <v>78</v>
      </c>
      <c r="F7" s="147" t="s">
        <v>79</v>
      </c>
      <c r="G7" s="147" t="s">
        <v>80</v>
      </c>
      <c r="H7" s="147" t="s">
        <v>81</v>
      </c>
      <c r="I7" s="147" t="s">
        <v>82</v>
      </c>
      <c r="J7" s="147" t="s">
        <v>83</v>
      </c>
      <c r="K7" s="147" t="s">
        <v>84</v>
      </c>
      <c r="L7" s="148" t="s">
        <v>85</v>
      </c>
      <c r="M7" s="141"/>
      <c r="N7" s="142"/>
      <c r="O7" s="142"/>
      <c r="P7" s="149"/>
      <c r="Q7" s="14"/>
      <c r="R7" s="14"/>
      <c r="S7" s="14"/>
      <c r="T7" s="14"/>
      <c r="U7" s="14"/>
      <c r="V7" s="14"/>
      <c r="W7" s="14"/>
      <c r="X7" s="14"/>
      <c r="Y7" s="14"/>
      <c r="Z7" s="14"/>
      <c r="AA7" s="14"/>
      <c r="AB7" s="14"/>
      <c r="AC7" s="14"/>
      <c r="AD7" s="14"/>
      <c r="AE7" s="14"/>
      <c r="AF7" s="14"/>
      <c r="AG7" s="14"/>
      <c r="AH7" s="14"/>
      <c r="AI7" s="6"/>
      <c r="AN7" s="20"/>
    </row>
    <row r="8" spans="2:39" s="58" customFormat="1" ht="50.25" customHeight="1">
      <c r="B8" s="57"/>
      <c r="C8" s="150" t="s">
        <v>104</v>
      </c>
      <c r="D8" s="151">
        <f>PMT(int_rate/12,loanterm1*12,-(Total_installed_cost-downpay),0,0)*12</f>
        <v>932.0723796472561</v>
      </c>
      <c r="E8" s="152">
        <f>PMT(int_rate/12,5*12,-(Total_installed_cost-downpay),0,0)*12</f>
        <v>2209.3722176393835</v>
      </c>
      <c r="F8" s="153">
        <f>PMT(int_rate/12,10*12,-(Total_installed_cost-downpay),0,0)*12</f>
        <v>1170.8218968792776</v>
      </c>
      <c r="G8" s="153">
        <f>PMT(int_rate/12,15*12,-(Total_installed_cost-downpay),0,0)*12</f>
        <v>826.2908815845153</v>
      </c>
      <c r="H8" s="153">
        <f>PMT(int_rate/12,20*12,-(Total_installed_cost-downpay),0,0)*12</f>
        <v>655.2558403900208</v>
      </c>
      <c r="I8" s="153">
        <f>PMT(int_rate/12,25*12,-(Total_installed_cost-downpay),0,0)*12</f>
        <v>553.609375149343</v>
      </c>
      <c r="J8" s="153">
        <f>PMT(int_rate/12,30*12,-(Total_installed_cost-downpay),0,0)*12</f>
        <v>486.64682529266577</v>
      </c>
      <c r="K8" s="153">
        <f>PMT(int_rate/12,35*12,-(Total_installed_cost-downpay),0,0)*12</f>
        <v>439.4929718644634</v>
      </c>
      <c r="L8" s="154">
        <f>PMT(int_rate/12,40*12,-(Total_installed_cost-downpay),0,0)*12</f>
        <v>404.7087275441654</v>
      </c>
      <c r="M8" s="143"/>
      <c r="N8" s="143"/>
      <c r="O8" s="143"/>
      <c r="P8" s="155"/>
      <c r="Q8" s="114"/>
      <c r="R8" s="114"/>
      <c r="S8" s="114"/>
      <c r="T8" s="114"/>
      <c r="U8" s="114"/>
      <c r="V8" s="114"/>
      <c r="W8" s="114"/>
      <c r="X8" s="114"/>
      <c r="Y8" s="114"/>
      <c r="Z8" s="114"/>
      <c r="AA8" s="114"/>
      <c r="AB8" s="114"/>
      <c r="AC8" s="114"/>
      <c r="AD8" s="114"/>
      <c r="AE8" s="114"/>
      <c r="AF8" s="114"/>
      <c r="AG8" s="114"/>
      <c r="AH8" s="114"/>
      <c r="AI8" s="156"/>
      <c r="AJ8" s="157"/>
      <c r="AK8" s="157"/>
      <c r="AL8" s="157"/>
      <c r="AM8" s="157"/>
    </row>
    <row r="9" spans="2:39" s="58" customFormat="1" ht="21.75" customHeight="1">
      <c r="B9" s="57"/>
      <c r="C9" s="158" t="s">
        <v>88</v>
      </c>
      <c r="D9" s="159">
        <f>SUM(X19:X59)/SUM($AH$19:$AH$59)</f>
        <v>0.2196573925441215</v>
      </c>
      <c r="E9" s="160">
        <f>SUM(Y19:Y59)/SUM($AH$19:$AH$59)</f>
        <v>0.2221852872788264</v>
      </c>
      <c r="F9" s="161">
        <f>SUM(Z19:Z59)/SUM($AH$19:$AH$59)</f>
        <v>0.22057649602412624</v>
      </c>
      <c r="G9" s="161">
        <f>SUM(AA19:AA59)/SUM($AH$19:$AH$59)</f>
        <v>0.21906340192883572</v>
      </c>
      <c r="H9" s="161">
        <f>SUM(AB19:AB59)/SUM($AH$19:$AH$59)</f>
        <v>0.21764230087973743</v>
      </c>
      <c r="I9" s="161">
        <f>SUM(AC19:AC59)/SUM($AH$19:$AH$59)</f>
        <v>0.2163094745742558</v>
      </c>
      <c r="J9" s="161">
        <f>SUM(AD19:AD59)/SUM($AH$19:$AH$59)</f>
        <v>0.2150612010110232</v>
      </c>
      <c r="K9" s="161">
        <f>SUM(AE19:AE59)/SUM($AH$19:$AH$59)</f>
        <v>0.21389376546503358</v>
      </c>
      <c r="L9" s="162">
        <f>SUM(AF19:AF59)/SUM($AH$19:$AH$59)</f>
        <v>0.2128034717530031</v>
      </c>
      <c r="M9" s="143"/>
      <c r="N9" s="143"/>
      <c r="O9" s="143"/>
      <c r="P9" s="155"/>
      <c r="Q9" s="114"/>
      <c r="R9" s="114"/>
      <c r="S9" s="114"/>
      <c r="T9" s="114"/>
      <c r="U9" s="114"/>
      <c r="V9" s="114"/>
      <c r="W9" s="114"/>
      <c r="X9" s="114"/>
      <c r="Y9" s="114"/>
      <c r="Z9" s="114"/>
      <c r="AA9" s="114"/>
      <c r="AB9" s="114"/>
      <c r="AC9" s="114"/>
      <c r="AD9" s="114"/>
      <c r="AE9" s="114"/>
      <c r="AF9" s="114"/>
      <c r="AG9" s="114"/>
      <c r="AH9" s="114"/>
      <c r="AI9" s="156"/>
      <c r="AJ9" s="157"/>
      <c r="AK9" s="157"/>
      <c r="AL9" s="157"/>
      <c r="AM9" s="157"/>
    </row>
    <row r="10" spans="2:39" s="58" customFormat="1" ht="51" customHeight="1">
      <c r="B10" s="57"/>
      <c r="C10" s="158" t="s">
        <v>91</v>
      </c>
      <c r="D10" s="163">
        <f aca="true" t="shared" si="0" ref="D10:L10">SUM(O19:O59)</f>
        <v>24596.940935414328</v>
      </c>
      <c r="E10" s="164">
        <f t="shared" si="0"/>
        <v>23526.86108819692</v>
      </c>
      <c r="F10" s="165">
        <f t="shared" si="0"/>
        <v>24188.218968792775</v>
      </c>
      <c r="G10" s="165">
        <f t="shared" si="0"/>
        <v>24874.363223767727</v>
      </c>
      <c r="H10" s="165">
        <f t="shared" si="0"/>
        <v>25585.116807800416</v>
      </c>
      <c r="I10" s="165">
        <f t="shared" si="0"/>
        <v>26320.23437873357</v>
      </c>
      <c r="J10" s="165">
        <f t="shared" si="0"/>
        <v>27079.40475877996</v>
      </c>
      <c r="K10" s="165">
        <f t="shared" si="0"/>
        <v>27862.25401525622</v>
      </c>
      <c r="L10" s="166">
        <f t="shared" si="0"/>
        <v>28668.349101766642</v>
      </c>
      <c r="M10" s="143"/>
      <c r="N10" s="143"/>
      <c r="O10" s="143"/>
      <c r="P10" s="155"/>
      <c r="Q10" s="114"/>
      <c r="R10" s="114"/>
      <c r="S10" s="114"/>
      <c r="T10" s="114"/>
      <c r="U10" s="114"/>
      <c r="V10" s="114"/>
      <c r="W10" s="114"/>
      <c r="X10" s="114"/>
      <c r="Y10" s="114"/>
      <c r="Z10" s="114"/>
      <c r="AA10" s="114"/>
      <c r="AB10" s="114"/>
      <c r="AC10" s="114"/>
      <c r="AD10" s="114"/>
      <c r="AE10" s="114"/>
      <c r="AF10" s="114"/>
      <c r="AG10" s="114"/>
      <c r="AH10" s="114"/>
      <c r="AI10" s="156"/>
      <c r="AJ10" s="157"/>
      <c r="AK10" s="157"/>
      <c r="AL10" s="157"/>
      <c r="AM10" s="157"/>
    </row>
    <row r="11" spans="2:39" s="58" customFormat="1" ht="17.25" customHeight="1">
      <c r="B11" s="57"/>
      <c r="C11" s="158" t="s">
        <v>92</v>
      </c>
      <c r="D11" s="167">
        <f>D10/MIN($D$10:$L$10)</f>
        <v>1.0454833240697057</v>
      </c>
      <c r="E11" s="168">
        <f aca="true" t="shared" si="1" ref="D11:L11">E10/MIN($D$10:$L$10)</f>
        <v>1</v>
      </c>
      <c r="F11" s="169">
        <f t="shared" si="1"/>
        <v>1.0281107572368695</v>
      </c>
      <c r="G11" s="169">
        <f t="shared" si="1"/>
        <v>1.0572750495920098</v>
      </c>
      <c r="H11" s="169">
        <f t="shared" si="1"/>
        <v>1.0874853518234988</v>
      </c>
      <c r="I11" s="169">
        <f t="shared" si="1"/>
        <v>1.1187312357591996</v>
      </c>
      <c r="J11" s="169">
        <f t="shared" si="1"/>
        <v>1.1509994749093537</v>
      </c>
      <c r="K11" s="169">
        <f t="shared" si="1"/>
        <v>1.1842741754119637</v>
      </c>
      <c r="L11" s="170">
        <f t="shared" si="1"/>
        <v>1.2185369307998817</v>
      </c>
      <c r="M11" s="143"/>
      <c r="N11" s="143"/>
      <c r="O11" s="143"/>
      <c r="P11" s="155"/>
      <c r="Q11" s="114"/>
      <c r="R11" s="114"/>
      <c r="S11" s="114"/>
      <c r="T11" s="114"/>
      <c r="U11" s="114"/>
      <c r="V11" s="114"/>
      <c r="W11" s="114"/>
      <c r="X11" s="114"/>
      <c r="Y11" s="114"/>
      <c r="Z11" s="114"/>
      <c r="AA11" s="114"/>
      <c r="AB11" s="114"/>
      <c r="AC11" s="114"/>
      <c r="AD11" s="114"/>
      <c r="AE11" s="114"/>
      <c r="AF11" s="114"/>
      <c r="AG11" s="114"/>
      <c r="AH11" s="114"/>
      <c r="AI11" s="156"/>
      <c r="AJ11" s="157"/>
      <c r="AK11" s="157"/>
      <c r="AL11" s="157"/>
      <c r="AM11" s="157"/>
    </row>
    <row r="12" spans="2:39" s="58" customFormat="1" ht="37.5" customHeight="1">
      <c r="B12" s="57"/>
      <c r="C12" s="158" t="s">
        <v>90</v>
      </c>
      <c r="D12" s="163">
        <f>SUM(X19:X59)</f>
        <v>17876.555007007228</v>
      </c>
      <c r="E12" s="164">
        <f aca="true" t="shared" si="2" ref="D12:L12">SUM(Y19:Y59)</f>
        <v>18082.284706123995</v>
      </c>
      <c r="F12" s="165">
        <f t="shared" si="2"/>
        <v>17951.355147931856</v>
      </c>
      <c r="G12" s="165">
        <f t="shared" si="2"/>
        <v>17828.21378896391</v>
      </c>
      <c r="H12" s="165">
        <f t="shared" si="2"/>
        <v>17712.559174382164</v>
      </c>
      <c r="I12" s="165">
        <f t="shared" si="2"/>
        <v>17604.088694564634</v>
      </c>
      <c r="J12" s="165">
        <f t="shared" si="2"/>
        <v>17502.499438867544</v>
      </c>
      <c r="K12" s="165">
        <f t="shared" si="2"/>
        <v>17407.48908882514</v>
      </c>
      <c r="L12" s="166">
        <f t="shared" si="2"/>
        <v>17318.756834967615</v>
      </c>
      <c r="M12" s="143"/>
      <c r="N12" s="143"/>
      <c r="O12" s="143"/>
      <c r="P12" s="155"/>
      <c r="Q12" s="114"/>
      <c r="R12" s="114"/>
      <c r="S12" s="114"/>
      <c r="T12" s="114"/>
      <c r="U12" s="114"/>
      <c r="V12" s="114"/>
      <c r="W12" s="114"/>
      <c r="X12" s="114"/>
      <c r="Y12" s="114"/>
      <c r="Z12" s="114"/>
      <c r="AA12" s="114"/>
      <c r="AB12" s="114"/>
      <c r="AC12" s="114"/>
      <c r="AD12" s="114"/>
      <c r="AE12" s="114"/>
      <c r="AF12" s="114"/>
      <c r="AG12" s="114"/>
      <c r="AH12" s="114"/>
      <c r="AI12" s="156"/>
      <c r="AJ12" s="157"/>
      <c r="AK12" s="157"/>
      <c r="AL12" s="157"/>
      <c r="AM12" s="157"/>
    </row>
    <row r="13" spans="2:39" s="58" customFormat="1" ht="15.75" customHeight="1" thickBot="1">
      <c r="B13" s="57"/>
      <c r="C13" s="171" t="s">
        <v>93</v>
      </c>
      <c r="D13" s="172">
        <f aca="true" t="shared" si="3" ref="D13:L13">D12/MIN($D$12:$L$12)</f>
        <v>1.032207748936886</v>
      </c>
      <c r="E13" s="173">
        <f t="shared" si="3"/>
        <v>1.044086759715615</v>
      </c>
      <c r="F13" s="174">
        <f t="shared" si="3"/>
        <v>1.036526773774373</v>
      </c>
      <c r="G13" s="174">
        <f t="shared" si="3"/>
        <v>1.0294164851929597</v>
      </c>
      <c r="H13" s="174">
        <f t="shared" si="3"/>
        <v>1.022738487708277</v>
      </c>
      <c r="I13" s="174">
        <f t="shared" si="3"/>
        <v>1.0164753083790008</v>
      </c>
      <c r="J13" s="174">
        <f t="shared" si="3"/>
        <v>1.0106094568825483</v>
      </c>
      <c r="K13" s="174">
        <f t="shared" si="3"/>
        <v>1.0051234770892081</v>
      </c>
      <c r="L13" s="175">
        <f t="shared" si="3"/>
        <v>1</v>
      </c>
      <c r="M13" s="143"/>
      <c r="N13" s="143"/>
      <c r="O13" s="143"/>
      <c r="P13" s="155"/>
      <c r="Q13" s="114"/>
      <c r="R13" s="114"/>
      <c r="S13" s="114"/>
      <c r="T13" s="114"/>
      <c r="U13" s="114"/>
      <c r="V13" s="114"/>
      <c r="W13" s="114"/>
      <c r="X13" s="114"/>
      <c r="Y13" s="114"/>
      <c r="Z13" s="114"/>
      <c r="AA13" s="114"/>
      <c r="AB13" s="114"/>
      <c r="AC13" s="114"/>
      <c r="AD13" s="114"/>
      <c r="AE13" s="114"/>
      <c r="AF13" s="114"/>
      <c r="AG13" s="114"/>
      <c r="AH13" s="114"/>
      <c r="AI13" s="156"/>
      <c r="AJ13" s="157"/>
      <c r="AK13" s="157"/>
      <c r="AL13" s="157"/>
      <c r="AM13" s="157"/>
    </row>
    <row r="14" spans="2:40" ht="15.75" thickBot="1">
      <c r="B14" s="24"/>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6"/>
      <c r="AN14" s="20"/>
    </row>
    <row r="15" spans="2:39" s="46" customFormat="1" ht="19.5" thickBot="1">
      <c r="B15" s="45"/>
      <c r="C15" s="441" t="str">
        <f>"LCOE Calculation -- Custom Loan Term of "&amp;'3.Inputs'!J32&amp;" years"</f>
        <v>LCOE Calculation -- Custom Loan Term of 13 years</v>
      </c>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3"/>
      <c r="AI15" s="6"/>
      <c r="AJ15" s="1"/>
      <c r="AK15" s="1"/>
      <c r="AL15" s="1"/>
      <c r="AM15" s="1"/>
    </row>
    <row r="16" spans="2:39" s="68" customFormat="1" ht="26.25" thickBot="1">
      <c r="B16" s="67"/>
      <c r="C16" s="74" t="s">
        <v>72</v>
      </c>
      <c r="D16" s="76" t="s">
        <v>128</v>
      </c>
      <c r="E16" s="432"/>
      <c r="F16" s="433"/>
      <c r="G16" s="433"/>
      <c r="H16" s="433"/>
      <c r="I16" s="433"/>
      <c r="J16" s="433"/>
      <c r="K16" s="433"/>
      <c r="L16" s="434"/>
      <c r="M16" s="177"/>
      <c r="N16" s="178"/>
      <c r="O16" s="179"/>
      <c r="P16" s="432"/>
      <c r="Q16" s="433"/>
      <c r="R16" s="433"/>
      <c r="S16" s="433"/>
      <c r="T16" s="433"/>
      <c r="U16" s="433"/>
      <c r="V16" s="433"/>
      <c r="W16" s="434"/>
      <c r="X16" s="177"/>
      <c r="Y16" s="432"/>
      <c r="Z16" s="433"/>
      <c r="AA16" s="433"/>
      <c r="AB16" s="433"/>
      <c r="AC16" s="433"/>
      <c r="AD16" s="433"/>
      <c r="AE16" s="433"/>
      <c r="AF16" s="434"/>
      <c r="AG16" s="180"/>
      <c r="AH16" s="69" t="s">
        <v>105</v>
      </c>
      <c r="AI16" s="181"/>
      <c r="AJ16" s="182"/>
      <c r="AK16" s="182"/>
      <c r="AL16" s="182"/>
      <c r="AM16" s="182"/>
    </row>
    <row r="17" spans="2:39" s="46" customFormat="1" ht="15.75" customHeight="1" thickBot="1">
      <c r="B17" s="45"/>
      <c r="C17" s="438" t="s">
        <v>21</v>
      </c>
      <c r="D17" s="430" t="s">
        <v>22</v>
      </c>
      <c r="E17" s="431"/>
      <c r="F17" s="431"/>
      <c r="G17" s="431"/>
      <c r="H17" s="431"/>
      <c r="I17" s="431"/>
      <c r="J17" s="431"/>
      <c r="K17" s="431"/>
      <c r="L17" s="435"/>
      <c r="M17" s="436" t="s">
        <v>86</v>
      </c>
      <c r="N17" s="436" t="s">
        <v>121</v>
      </c>
      <c r="O17" s="446" t="s">
        <v>73</v>
      </c>
      <c r="P17" s="447"/>
      <c r="Q17" s="447"/>
      <c r="R17" s="447"/>
      <c r="S17" s="447"/>
      <c r="T17" s="447"/>
      <c r="U17" s="447"/>
      <c r="V17" s="447"/>
      <c r="W17" s="448"/>
      <c r="X17" s="430" t="s">
        <v>75</v>
      </c>
      <c r="Y17" s="431"/>
      <c r="Z17" s="431"/>
      <c r="AA17" s="431"/>
      <c r="AB17" s="431"/>
      <c r="AC17" s="431"/>
      <c r="AD17" s="431"/>
      <c r="AE17" s="431"/>
      <c r="AF17" s="431"/>
      <c r="AG17" s="444" t="s">
        <v>74</v>
      </c>
      <c r="AH17" s="438" t="s">
        <v>26</v>
      </c>
      <c r="AI17" s="6"/>
      <c r="AJ17" s="1"/>
      <c r="AK17" s="1"/>
      <c r="AL17" s="1"/>
      <c r="AM17" s="1"/>
    </row>
    <row r="18" spans="2:39" s="31" customFormat="1" ht="31.5" customHeight="1" thickBot="1">
      <c r="B18" s="29"/>
      <c r="C18" s="445"/>
      <c r="D18" s="183" t="str">
        <f>"Custom Loan Term ("&amp;loanterm1&amp;" years)"</f>
        <v>Custom Loan Term (13 years)</v>
      </c>
      <c r="E18" s="183" t="s">
        <v>78</v>
      </c>
      <c r="F18" s="184" t="s">
        <v>79</v>
      </c>
      <c r="G18" s="184" t="s">
        <v>80</v>
      </c>
      <c r="H18" s="184" t="s">
        <v>81</v>
      </c>
      <c r="I18" s="184" t="s">
        <v>82</v>
      </c>
      <c r="J18" s="184" t="s">
        <v>83</v>
      </c>
      <c r="K18" s="184" t="s">
        <v>84</v>
      </c>
      <c r="L18" s="185" t="s">
        <v>85</v>
      </c>
      <c r="M18" s="437"/>
      <c r="N18" s="437"/>
      <c r="O18" s="183" t="str">
        <f>"Custom Loan Term ("&amp;loanterm1&amp;" years)"</f>
        <v>Custom Loan Term (13 years)</v>
      </c>
      <c r="P18" s="186" t="s">
        <v>78</v>
      </c>
      <c r="Q18" s="186" t="s">
        <v>79</v>
      </c>
      <c r="R18" s="186" t="s">
        <v>80</v>
      </c>
      <c r="S18" s="186" t="s">
        <v>81</v>
      </c>
      <c r="T18" s="186" t="s">
        <v>82</v>
      </c>
      <c r="U18" s="186" t="s">
        <v>83</v>
      </c>
      <c r="V18" s="186" t="s">
        <v>84</v>
      </c>
      <c r="W18" s="187" t="s">
        <v>85</v>
      </c>
      <c r="X18" s="183" t="str">
        <f>"Custom Loan Term ("&amp;loanterm1&amp;" years)"</f>
        <v>Custom Loan Term (13 years)</v>
      </c>
      <c r="Y18" s="186" t="s">
        <v>78</v>
      </c>
      <c r="Z18" s="186" t="s">
        <v>79</v>
      </c>
      <c r="AA18" s="186" t="s">
        <v>80</v>
      </c>
      <c r="AB18" s="186" t="s">
        <v>81</v>
      </c>
      <c r="AC18" s="186" t="s">
        <v>82</v>
      </c>
      <c r="AD18" s="186" t="s">
        <v>83</v>
      </c>
      <c r="AE18" s="186" t="s">
        <v>84</v>
      </c>
      <c r="AF18" s="188" t="s">
        <v>85</v>
      </c>
      <c r="AG18" s="439"/>
      <c r="AH18" s="439"/>
      <c r="AI18" s="189"/>
      <c r="AJ18" s="190"/>
      <c r="AK18" s="190"/>
      <c r="AL18" s="190"/>
      <c r="AM18" s="190"/>
    </row>
    <row r="19" spans="2:40" ht="15">
      <c r="B19" s="24"/>
      <c r="C19" s="191">
        <v>0</v>
      </c>
      <c r="D19" s="192">
        <f>IF(loanterm1=0,Total_installed_cost,downpay)</f>
        <v>2600</v>
      </c>
      <c r="E19" s="193">
        <f aca="true" t="shared" si="4" ref="E19:L19">downpay</f>
        <v>2600</v>
      </c>
      <c r="F19" s="193">
        <f t="shared" si="4"/>
        <v>2600</v>
      </c>
      <c r="G19" s="193">
        <f t="shared" si="4"/>
        <v>2600</v>
      </c>
      <c r="H19" s="193">
        <f t="shared" si="4"/>
        <v>2600</v>
      </c>
      <c r="I19" s="193">
        <f t="shared" si="4"/>
        <v>2600</v>
      </c>
      <c r="J19" s="193">
        <f t="shared" si="4"/>
        <v>2600</v>
      </c>
      <c r="K19" s="193">
        <f t="shared" si="4"/>
        <v>2600</v>
      </c>
      <c r="L19" s="194">
        <f t="shared" si="4"/>
        <v>2600</v>
      </c>
      <c r="M19" s="195">
        <v>0</v>
      </c>
      <c r="N19" s="196">
        <v>0</v>
      </c>
      <c r="O19" s="197">
        <f>SUM(D19,$M19,$N19)</f>
        <v>2600</v>
      </c>
      <c r="P19" s="198">
        <f>SUM(E19,$M19,$N19)</f>
        <v>2600</v>
      </c>
      <c r="Q19" s="198">
        <f aca="true" t="shared" si="5" ref="Q19:W19">SUM(F19,$M19,$N19)</f>
        <v>2600</v>
      </c>
      <c r="R19" s="198">
        <f t="shared" si="5"/>
        <v>2600</v>
      </c>
      <c r="S19" s="198">
        <f t="shared" si="5"/>
        <v>2600</v>
      </c>
      <c r="T19" s="198">
        <f t="shared" si="5"/>
        <v>2600</v>
      </c>
      <c r="U19" s="198">
        <f t="shared" si="5"/>
        <v>2600</v>
      </c>
      <c r="V19" s="198">
        <f t="shared" si="5"/>
        <v>2600</v>
      </c>
      <c r="W19" s="196">
        <f t="shared" si="5"/>
        <v>2600</v>
      </c>
      <c r="X19" s="192">
        <f aca="true" t="shared" si="6" ref="X19:X59">O19/(1+disc_rate)^$C19</f>
        <v>2600</v>
      </c>
      <c r="Y19" s="193">
        <f aca="true" t="shared" si="7" ref="Y19:Y59">P19/(1+disc_rate)^$C19</f>
        <v>2600</v>
      </c>
      <c r="Z19" s="193">
        <f aca="true" t="shared" si="8" ref="Z19:Z59">Q19/(1+disc_rate)^$C19</f>
        <v>2600</v>
      </c>
      <c r="AA19" s="193">
        <f aca="true" t="shared" si="9" ref="AA19:AA59">R19/(1+disc_rate)^$C19</f>
        <v>2600</v>
      </c>
      <c r="AB19" s="193">
        <f aca="true" t="shared" si="10" ref="AB19:AB59">S19/(1+disc_rate)^$C19</f>
        <v>2600</v>
      </c>
      <c r="AC19" s="193">
        <f aca="true" t="shared" si="11" ref="AC19:AC59">T19/(1+disc_rate)^$C19</f>
        <v>2600</v>
      </c>
      <c r="AD19" s="193">
        <f aca="true" t="shared" si="12" ref="AD19:AD59">U19/(1+disc_rate)^$C19</f>
        <v>2600</v>
      </c>
      <c r="AE19" s="193">
        <f aca="true" t="shared" si="13" ref="AE19:AE59">V19/(1+disc_rate)^$C19</f>
        <v>2600</v>
      </c>
      <c r="AF19" s="194">
        <f aca="true" t="shared" si="14" ref="AF19:AF59">W19/(1+disc_rate)^$C19</f>
        <v>2600</v>
      </c>
      <c r="AG19" s="199">
        <f>rated_energyout*((1-PV_degr)^C19)</f>
        <v>3650</v>
      </c>
      <c r="AH19" s="200">
        <f>AG19/((1+'3.Inputs'!$J$29)^C19)</f>
        <v>3650</v>
      </c>
      <c r="AI19" s="6"/>
      <c r="AN19" s="20"/>
    </row>
    <row r="20" spans="2:40" ht="15">
      <c r="B20" s="24"/>
      <c r="C20" s="201">
        <v>1</v>
      </c>
      <c r="D20" s="202">
        <f aca="true" t="shared" si="15" ref="D20:D59">IF(C20&lt;=loanterm1,$D$8,0)</f>
        <v>932.0723796472561</v>
      </c>
      <c r="E20" s="203">
        <f aca="true" t="shared" si="16" ref="E20:E59">IF(C20&lt;=5,$E$8,0)</f>
        <v>2209.3722176393835</v>
      </c>
      <c r="F20" s="203">
        <f aca="true" t="shared" si="17" ref="F20:F59">IF(C20&lt;=10,$F$8,0)</f>
        <v>1170.8218968792776</v>
      </c>
      <c r="G20" s="203">
        <f aca="true" t="shared" si="18" ref="G20:G59">IF(C20&lt;=15,$G$8,0)</f>
        <v>826.2908815845153</v>
      </c>
      <c r="H20" s="203">
        <f aca="true" t="shared" si="19" ref="H20:H59">IF(C20&lt;=20,$H$8,0)</f>
        <v>655.2558403900208</v>
      </c>
      <c r="I20" s="203">
        <f aca="true" t="shared" si="20" ref="I20:I59">IF(C20&lt;=25,$I$8,0)</f>
        <v>553.609375149343</v>
      </c>
      <c r="J20" s="203">
        <f aca="true" t="shared" si="21" ref="J20:J59">IF(C20&lt;=30,$J$8,0)</f>
        <v>486.64682529266577</v>
      </c>
      <c r="K20" s="203">
        <f aca="true" t="shared" si="22" ref="K20:K59">IF(C20&lt;=35,$K$8,0)</f>
        <v>439.4929718644634</v>
      </c>
      <c r="L20" s="93">
        <f aca="true" t="shared" si="23" ref="L20:L59">IF(C20&lt;=40,$L$8,0)</f>
        <v>404.7087275441654</v>
      </c>
      <c r="M20" s="204">
        <f aca="true" t="shared" si="24" ref="M20:M59">IF(MOD(C20,inverterlife)=0,invertercost,0)</f>
        <v>0</v>
      </c>
      <c r="N20" s="205">
        <f aca="true" t="shared" si="25" ref="N20:N59">insurance+other_opcost+other_mancost</f>
        <v>130</v>
      </c>
      <c r="O20" s="202">
        <f>SUM(D20,$M20,$N20)</f>
        <v>1062.0723796472562</v>
      </c>
      <c r="P20" s="203">
        <f>SUM(E20,$M20,$N20)</f>
        <v>2339.3722176393835</v>
      </c>
      <c r="Q20" s="203">
        <f aca="true" t="shared" si="26" ref="Q20:W20">SUM(F20,$M20,$N20)</f>
        <v>1300.8218968792776</v>
      </c>
      <c r="R20" s="203">
        <f t="shared" si="26"/>
        <v>956.2908815845153</v>
      </c>
      <c r="S20" s="203">
        <f t="shared" si="26"/>
        <v>785.2558403900208</v>
      </c>
      <c r="T20" s="203">
        <f t="shared" si="26"/>
        <v>683.609375149343</v>
      </c>
      <c r="U20" s="203">
        <f t="shared" si="26"/>
        <v>616.6468252926658</v>
      </c>
      <c r="V20" s="203">
        <f t="shared" si="26"/>
        <v>569.4929718644635</v>
      </c>
      <c r="W20" s="205">
        <f t="shared" si="26"/>
        <v>534.7087275441654</v>
      </c>
      <c r="X20" s="197">
        <f t="shared" si="6"/>
        <v>1031.138232667239</v>
      </c>
      <c r="Y20" s="198">
        <f t="shared" si="7"/>
        <v>2271.235162756683</v>
      </c>
      <c r="Z20" s="198">
        <f t="shared" si="8"/>
        <v>1262.933880465318</v>
      </c>
      <c r="AA20" s="198">
        <f t="shared" si="9"/>
        <v>928.4377491111799</v>
      </c>
      <c r="AB20" s="198">
        <f t="shared" si="10"/>
        <v>762.3843110582726</v>
      </c>
      <c r="AC20" s="198">
        <f t="shared" si="11"/>
        <v>663.6984224750903</v>
      </c>
      <c r="AD20" s="198">
        <f t="shared" si="12"/>
        <v>598.6862381482192</v>
      </c>
      <c r="AE20" s="198">
        <f t="shared" si="13"/>
        <v>552.9057979266636</v>
      </c>
      <c r="AF20" s="206">
        <f t="shared" si="14"/>
        <v>519.1346869360829</v>
      </c>
      <c r="AG20" s="199">
        <f>rated_energyout*((1-'3.Inputs'!$J$17)^C20)</f>
        <v>3631.75</v>
      </c>
      <c r="AH20" s="207">
        <f>AG20/((1+'3.Inputs'!$J$29)^C20)</f>
        <v>3525.9708737864075</v>
      </c>
      <c r="AI20" s="6"/>
      <c r="AN20" s="20"/>
    </row>
    <row r="21" spans="2:40" ht="15">
      <c r="B21" s="24"/>
      <c r="C21" s="201">
        <v>2</v>
      </c>
      <c r="D21" s="202">
        <f t="shared" si="15"/>
        <v>932.0723796472561</v>
      </c>
      <c r="E21" s="203">
        <f t="shared" si="16"/>
        <v>2209.3722176393835</v>
      </c>
      <c r="F21" s="203">
        <f t="shared" si="17"/>
        <v>1170.8218968792776</v>
      </c>
      <c r="G21" s="203">
        <f t="shared" si="18"/>
        <v>826.2908815845153</v>
      </c>
      <c r="H21" s="203">
        <f t="shared" si="19"/>
        <v>655.2558403900208</v>
      </c>
      <c r="I21" s="203">
        <f t="shared" si="20"/>
        <v>553.609375149343</v>
      </c>
      <c r="J21" s="203">
        <f t="shared" si="21"/>
        <v>486.64682529266577</v>
      </c>
      <c r="K21" s="203">
        <f t="shared" si="22"/>
        <v>439.4929718644634</v>
      </c>
      <c r="L21" s="93">
        <f t="shared" si="23"/>
        <v>404.7087275441654</v>
      </c>
      <c r="M21" s="204">
        <f t="shared" si="24"/>
        <v>0</v>
      </c>
      <c r="N21" s="205">
        <f t="shared" si="25"/>
        <v>130</v>
      </c>
      <c r="O21" s="202">
        <f aca="true" t="shared" si="27" ref="O21:O59">SUM(D21,$M21,$N21)</f>
        <v>1062.0723796472562</v>
      </c>
      <c r="P21" s="203">
        <f aca="true" t="shared" si="28" ref="P21:P59">SUM(E21,$M21,$N21)</f>
        <v>2339.3722176393835</v>
      </c>
      <c r="Q21" s="203">
        <f aca="true" t="shared" si="29" ref="Q21:Q59">SUM(F21,$M21,$N21)</f>
        <v>1300.8218968792776</v>
      </c>
      <c r="R21" s="203">
        <f aca="true" t="shared" si="30" ref="R21:R59">SUM(G21,$M21,$N21)</f>
        <v>956.2908815845153</v>
      </c>
      <c r="S21" s="203">
        <f aca="true" t="shared" si="31" ref="S21:S59">SUM(H21,$M21,$N21)</f>
        <v>785.2558403900208</v>
      </c>
      <c r="T21" s="203">
        <f aca="true" t="shared" si="32" ref="T21:T59">SUM(I21,$M21,$N21)</f>
        <v>683.609375149343</v>
      </c>
      <c r="U21" s="203">
        <f aca="true" t="shared" si="33" ref="U21:U59">SUM(J21,$M21,$N21)</f>
        <v>616.6468252926658</v>
      </c>
      <c r="V21" s="203">
        <f aca="true" t="shared" si="34" ref="V21:V59">SUM(K21,$M21,$N21)</f>
        <v>569.4929718644635</v>
      </c>
      <c r="W21" s="205">
        <f aca="true" t="shared" si="35" ref="W21:W59">SUM(L21,$M21,$N21)</f>
        <v>534.7087275441654</v>
      </c>
      <c r="X21" s="197">
        <f t="shared" si="6"/>
        <v>1001.1050802594553</v>
      </c>
      <c r="Y21" s="198">
        <f t="shared" si="7"/>
        <v>2205.0826822880417</v>
      </c>
      <c r="Z21" s="198">
        <f t="shared" si="8"/>
        <v>1226.1493985100176</v>
      </c>
      <c r="AA21" s="198">
        <f t="shared" si="9"/>
        <v>901.3958729234757</v>
      </c>
      <c r="AB21" s="198">
        <f t="shared" si="10"/>
        <v>740.178942775022</v>
      </c>
      <c r="AC21" s="198">
        <f t="shared" si="11"/>
        <v>644.3674004612527</v>
      </c>
      <c r="AD21" s="198">
        <f t="shared" si="12"/>
        <v>581.2487749011837</v>
      </c>
      <c r="AE21" s="198">
        <f t="shared" si="13"/>
        <v>536.8017455598675</v>
      </c>
      <c r="AF21" s="206">
        <f t="shared" si="14"/>
        <v>504.0142591612456</v>
      </c>
      <c r="AG21" s="199">
        <f>rated_energyout*((1-'3.Inputs'!$J$17)^C21)</f>
        <v>3613.59125</v>
      </c>
      <c r="AH21" s="207">
        <f>AG21/((1+'3.Inputs'!$J$29)^C21)</f>
        <v>3406.15632953153</v>
      </c>
      <c r="AI21" s="6"/>
      <c r="AN21" s="20"/>
    </row>
    <row r="22" spans="2:40" ht="15">
      <c r="B22" s="24"/>
      <c r="C22" s="201">
        <v>3</v>
      </c>
      <c r="D22" s="202">
        <f t="shared" si="15"/>
        <v>932.0723796472561</v>
      </c>
      <c r="E22" s="203">
        <f t="shared" si="16"/>
        <v>2209.3722176393835</v>
      </c>
      <c r="F22" s="203">
        <f t="shared" si="17"/>
        <v>1170.8218968792776</v>
      </c>
      <c r="G22" s="203">
        <f t="shared" si="18"/>
        <v>826.2908815845153</v>
      </c>
      <c r="H22" s="203">
        <f t="shared" si="19"/>
        <v>655.2558403900208</v>
      </c>
      <c r="I22" s="203">
        <f t="shared" si="20"/>
        <v>553.609375149343</v>
      </c>
      <c r="J22" s="203">
        <f t="shared" si="21"/>
        <v>486.64682529266577</v>
      </c>
      <c r="K22" s="203">
        <f t="shared" si="22"/>
        <v>439.4929718644634</v>
      </c>
      <c r="L22" s="93">
        <f t="shared" si="23"/>
        <v>404.7087275441654</v>
      </c>
      <c r="M22" s="204">
        <f t="shared" si="24"/>
        <v>0</v>
      </c>
      <c r="N22" s="205">
        <f t="shared" si="25"/>
        <v>130</v>
      </c>
      <c r="O22" s="202">
        <f t="shared" si="27"/>
        <v>1062.0723796472562</v>
      </c>
      <c r="P22" s="203">
        <f t="shared" si="28"/>
        <v>2339.3722176393835</v>
      </c>
      <c r="Q22" s="203">
        <f t="shared" si="29"/>
        <v>1300.8218968792776</v>
      </c>
      <c r="R22" s="203">
        <f t="shared" si="30"/>
        <v>956.2908815845153</v>
      </c>
      <c r="S22" s="203">
        <f t="shared" si="31"/>
        <v>785.2558403900208</v>
      </c>
      <c r="T22" s="203">
        <f t="shared" si="32"/>
        <v>683.609375149343</v>
      </c>
      <c r="U22" s="203">
        <f t="shared" si="33"/>
        <v>616.6468252926658</v>
      </c>
      <c r="V22" s="203">
        <f t="shared" si="34"/>
        <v>569.4929718644635</v>
      </c>
      <c r="W22" s="205">
        <f t="shared" si="35"/>
        <v>534.7087275441654</v>
      </c>
      <c r="X22" s="197">
        <f t="shared" si="6"/>
        <v>971.9466798635489</v>
      </c>
      <c r="Y22" s="198">
        <f t="shared" si="7"/>
        <v>2140.8569730951863</v>
      </c>
      <c r="Z22" s="198">
        <f t="shared" si="8"/>
        <v>1190.4363092330268</v>
      </c>
      <c r="AA22" s="198">
        <f t="shared" si="9"/>
        <v>875.1416241975492</v>
      </c>
      <c r="AB22" s="198">
        <f t="shared" si="10"/>
        <v>718.6203327912834</v>
      </c>
      <c r="AC22" s="198">
        <f t="shared" si="11"/>
        <v>625.5994179235463</v>
      </c>
      <c r="AD22" s="198">
        <f t="shared" si="12"/>
        <v>564.3191989331881</v>
      </c>
      <c r="AE22" s="198">
        <f t="shared" si="13"/>
        <v>521.1667432620073</v>
      </c>
      <c r="AF22" s="206">
        <f t="shared" si="14"/>
        <v>489.33423219538406</v>
      </c>
      <c r="AG22" s="199">
        <f>rated_energyout*((1-'3.Inputs'!$J$17)^C22)</f>
        <v>3595.52329375</v>
      </c>
      <c r="AH22" s="207">
        <f>AG22/((1+'3.Inputs'!$J$29)^C22)</f>
        <v>3290.413153285313</v>
      </c>
      <c r="AI22" s="6"/>
      <c r="AN22" s="20"/>
    </row>
    <row r="23" spans="2:40" ht="15">
      <c r="B23" s="24"/>
      <c r="C23" s="201">
        <v>4</v>
      </c>
      <c r="D23" s="202">
        <f t="shared" si="15"/>
        <v>932.0723796472561</v>
      </c>
      <c r="E23" s="203">
        <f t="shared" si="16"/>
        <v>2209.3722176393835</v>
      </c>
      <c r="F23" s="203">
        <f t="shared" si="17"/>
        <v>1170.8218968792776</v>
      </c>
      <c r="G23" s="203">
        <f t="shared" si="18"/>
        <v>826.2908815845153</v>
      </c>
      <c r="H23" s="203">
        <f t="shared" si="19"/>
        <v>655.2558403900208</v>
      </c>
      <c r="I23" s="203">
        <f t="shared" si="20"/>
        <v>553.609375149343</v>
      </c>
      <c r="J23" s="203">
        <f t="shared" si="21"/>
        <v>486.64682529266577</v>
      </c>
      <c r="K23" s="203">
        <f t="shared" si="22"/>
        <v>439.4929718644634</v>
      </c>
      <c r="L23" s="93">
        <f t="shared" si="23"/>
        <v>404.7087275441654</v>
      </c>
      <c r="M23" s="204">
        <f t="shared" si="24"/>
        <v>0</v>
      </c>
      <c r="N23" s="205">
        <f t="shared" si="25"/>
        <v>130</v>
      </c>
      <c r="O23" s="202">
        <f t="shared" si="27"/>
        <v>1062.0723796472562</v>
      </c>
      <c r="P23" s="203">
        <f t="shared" si="28"/>
        <v>2339.3722176393835</v>
      </c>
      <c r="Q23" s="203">
        <f t="shared" si="29"/>
        <v>1300.8218968792776</v>
      </c>
      <c r="R23" s="203">
        <f t="shared" si="30"/>
        <v>956.2908815845153</v>
      </c>
      <c r="S23" s="203">
        <f t="shared" si="31"/>
        <v>785.2558403900208</v>
      </c>
      <c r="T23" s="203">
        <f t="shared" si="32"/>
        <v>683.609375149343</v>
      </c>
      <c r="U23" s="203">
        <f t="shared" si="33"/>
        <v>616.6468252926658</v>
      </c>
      <c r="V23" s="203">
        <f t="shared" si="34"/>
        <v>569.4929718644635</v>
      </c>
      <c r="W23" s="205">
        <f t="shared" si="35"/>
        <v>534.7087275441654</v>
      </c>
      <c r="X23" s="197">
        <f t="shared" si="6"/>
        <v>943.6375532655815</v>
      </c>
      <c r="Y23" s="198">
        <f t="shared" si="7"/>
        <v>2078.5019156263943</v>
      </c>
      <c r="Z23" s="198">
        <f t="shared" si="8"/>
        <v>1155.7634070223562</v>
      </c>
      <c r="AA23" s="198">
        <f t="shared" si="9"/>
        <v>849.6520623277177</v>
      </c>
      <c r="AB23" s="198">
        <f t="shared" si="10"/>
        <v>697.689643486683</v>
      </c>
      <c r="AC23" s="198">
        <f t="shared" si="11"/>
        <v>607.3780756539285</v>
      </c>
      <c r="AD23" s="198">
        <f t="shared" si="12"/>
        <v>547.8827174108623</v>
      </c>
      <c r="AE23" s="198">
        <f t="shared" si="13"/>
        <v>505.9871293805897</v>
      </c>
      <c r="AF23" s="206">
        <f t="shared" si="14"/>
        <v>475.08177883047</v>
      </c>
      <c r="AG23" s="199">
        <f>rated_energyout*((1-'3.Inputs'!$J$17)^C23)</f>
        <v>3577.5456772812504</v>
      </c>
      <c r="AH23" s="207">
        <f>AG23/((1+'3.Inputs'!$J$29)^C23)</f>
        <v>3178.6029975911524</v>
      </c>
      <c r="AI23" s="6"/>
      <c r="AN23" s="20"/>
    </row>
    <row r="24" spans="2:40" ht="15">
      <c r="B24" s="24"/>
      <c r="C24" s="201">
        <v>5</v>
      </c>
      <c r="D24" s="202">
        <f t="shared" si="15"/>
        <v>932.0723796472561</v>
      </c>
      <c r="E24" s="203">
        <f t="shared" si="16"/>
        <v>2209.3722176393835</v>
      </c>
      <c r="F24" s="203">
        <f t="shared" si="17"/>
        <v>1170.8218968792776</v>
      </c>
      <c r="G24" s="203">
        <f t="shared" si="18"/>
        <v>826.2908815845153</v>
      </c>
      <c r="H24" s="203">
        <f t="shared" si="19"/>
        <v>655.2558403900208</v>
      </c>
      <c r="I24" s="203">
        <f t="shared" si="20"/>
        <v>553.609375149343</v>
      </c>
      <c r="J24" s="203">
        <f t="shared" si="21"/>
        <v>486.64682529266577</v>
      </c>
      <c r="K24" s="203">
        <f t="shared" si="22"/>
        <v>439.4929718644634</v>
      </c>
      <c r="L24" s="93">
        <f t="shared" si="23"/>
        <v>404.7087275441654</v>
      </c>
      <c r="M24" s="204">
        <f t="shared" si="24"/>
        <v>0</v>
      </c>
      <c r="N24" s="205">
        <f t="shared" si="25"/>
        <v>130</v>
      </c>
      <c r="O24" s="202">
        <f t="shared" si="27"/>
        <v>1062.0723796472562</v>
      </c>
      <c r="P24" s="203">
        <f t="shared" si="28"/>
        <v>2339.3722176393835</v>
      </c>
      <c r="Q24" s="203">
        <f t="shared" si="29"/>
        <v>1300.8218968792776</v>
      </c>
      <c r="R24" s="203">
        <f t="shared" si="30"/>
        <v>956.2908815845153</v>
      </c>
      <c r="S24" s="203">
        <f t="shared" si="31"/>
        <v>785.2558403900208</v>
      </c>
      <c r="T24" s="203">
        <f t="shared" si="32"/>
        <v>683.609375149343</v>
      </c>
      <c r="U24" s="203">
        <f t="shared" si="33"/>
        <v>616.6468252926658</v>
      </c>
      <c r="V24" s="203">
        <f t="shared" si="34"/>
        <v>569.4929718644635</v>
      </c>
      <c r="W24" s="205">
        <f t="shared" si="35"/>
        <v>534.7087275441654</v>
      </c>
      <c r="X24" s="197">
        <f t="shared" si="6"/>
        <v>916.1529643355161</v>
      </c>
      <c r="Y24" s="198">
        <f t="shared" si="7"/>
        <v>2017.9630248799947</v>
      </c>
      <c r="Z24" s="198">
        <f t="shared" si="8"/>
        <v>1122.100395167336</v>
      </c>
      <c r="AA24" s="198">
        <f t="shared" si="9"/>
        <v>824.9049148812794</v>
      </c>
      <c r="AB24" s="198">
        <f t="shared" si="10"/>
        <v>677.3685859094011</v>
      </c>
      <c r="AC24" s="198">
        <f t="shared" si="11"/>
        <v>589.6874520911928</v>
      </c>
      <c r="AD24" s="198">
        <f t="shared" si="12"/>
        <v>531.9249683600605</v>
      </c>
      <c r="AE24" s="198">
        <f t="shared" si="13"/>
        <v>491.24964017532983</v>
      </c>
      <c r="AF24" s="206">
        <f t="shared" si="14"/>
        <v>461.2444454664757</v>
      </c>
      <c r="AG24" s="199">
        <f>rated_energyout*((1-'3.Inputs'!$J$17)^C24)</f>
        <v>3559.657948894844</v>
      </c>
      <c r="AH24" s="207">
        <f>AG24/((1+'3.Inputs'!$J$29)^C24)</f>
        <v>3070.5922161196086</v>
      </c>
      <c r="AI24" s="6"/>
      <c r="AN24" s="20"/>
    </row>
    <row r="25" spans="2:40" ht="12.75" customHeight="1">
      <c r="B25" s="24"/>
      <c r="C25" s="201">
        <v>6</v>
      </c>
      <c r="D25" s="202">
        <f t="shared" si="15"/>
        <v>932.0723796472561</v>
      </c>
      <c r="E25" s="203">
        <f t="shared" si="16"/>
        <v>0</v>
      </c>
      <c r="F25" s="203">
        <f t="shared" si="17"/>
        <v>1170.8218968792776</v>
      </c>
      <c r="G25" s="203">
        <f t="shared" si="18"/>
        <v>826.2908815845153</v>
      </c>
      <c r="H25" s="203">
        <f t="shared" si="19"/>
        <v>655.2558403900208</v>
      </c>
      <c r="I25" s="203">
        <f t="shared" si="20"/>
        <v>553.609375149343</v>
      </c>
      <c r="J25" s="203">
        <f t="shared" si="21"/>
        <v>486.64682529266577</v>
      </c>
      <c r="K25" s="203">
        <f t="shared" si="22"/>
        <v>439.4929718644634</v>
      </c>
      <c r="L25" s="93">
        <f t="shared" si="23"/>
        <v>404.7087275441654</v>
      </c>
      <c r="M25" s="204">
        <f t="shared" si="24"/>
        <v>0</v>
      </c>
      <c r="N25" s="205">
        <f t="shared" si="25"/>
        <v>130</v>
      </c>
      <c r="O25" s="202">
        <f t="shared" si="27"/>
        <v>1062.0723796472562</v>
      </c>
      <c r="P25" s="203">
        <f t="shared" si="28"/>
        <v>130</v>
      </c>
      <c r="Q25" s="203">
        <f t="shared" si="29"/>
        <v>1300.8218968792776</v>
      </c>
      <c r="R25" s="203">
        <f t="shared" si="30"/>
        <v>956.2908815845153</v>
      </c>
      <c r="S25" s="203">
        <f t="shared" si="31"/>
        <v>785.2558403900208</v>
      </c>
      <c r="T25" s="203">
        <f t="shared" si="32"/>
        <v>683.609375149343</v>
      </c>
      <c r="U25" s="203">
        <f t="shared" si="33"/>
        <v>616.6468252926658</v>
      </c>
      <c r="V25" s="203">
        <f t="shared" si="34"/>
        <v>569.4929718644635</v>
      </c>
      <c r="W25" s="205">
        <f t="shared" si="35"/>
        <v>534.7087275441654</v>
      </c>
      <c r="X25" s="197">
        <f t="shared" si="6"/>
        <v>889.4688974131224</v>
      </c>
      <c r="Y25" s="198">
        <f t="shared" si="7"/>
        <v>108.87295336887507</v>
      </c>
      <c r="Z25" s="198">
        <f t="shared" si="8"/>
        <v>1089.4178593857632</v>
      </c>
      <c r="AA25" s="198">
        <f t="shared" si="9"/>
        <v>800.8785581371644</v>
      </c>
      <c r="AB25" s="198">
        <f t="shared" si="10"/>
        <v>657.6394037955349</v>
      </c>
      <c r="AC25" s="198">
        <f t="shared" si="11"/>
        <v>572.512089408925</v>
      </c>
      <c r="AD25" s="198">
        <f t="shared" si="12"/>
        <v>516.4320081165635</v>
      </c>
      <c r="AE25" s="198">
        <f t="shared" si="13"/>
        <v>476.9413982284755</v>
      </c>
      <c r="AF25" s="206">
        <f t="shared" si="14"/>
        <v>447.81014122958806</v>
      </c>
      <c r="AG25" s="199">
        <f>rated_energyout*((1-'3.Inputs'!$J$17)^C25)</f>
        <v>3541.85965915037</v>
      </c>
      <c r="AH25" s="207">
        <f>AG25/((1+'3.Inputs'!$J$29)^C25)</f>
        <v>2966.2517039213694</v>
      </c>
      <c r="AI25" s="6"/>
      <c r="AN25" s="20"/>
    </row>
    <row r="26" spans="2:40" ht="15">
      <c r="B26" s="24"/>
      <c r="C26" s="201">
        <v>7</v>
      </c>
      <c r="D26" s="202">
        <f t="shared" si="15"/>
        <v>932.0723796472561</v>
      </c>
      <c r="E26" s="203">
        <f t="shared" si="16"/>
        <v>0</v>
      </c>
      <c r="F26" s="203">
        <f t="shared" si="17"/>
        <v>1170.8218968792776</v>
      </c>
      <c r="G26" s="203">
        <f t="shared" si="18"/>
        <v>826.2908815845153</v>
      </c>
      <c r="H26" s="203">
        <f t="shared" si="19"/>
        <v>655.2558403900208</v>
      </c>
      <c r="I26" s="203">
        <f t="shared" si="20"/>
        <v>553.609375149343</v>
      </c>
      <c r="J26" s="203">
        <f t="shared" si="21"/>
        <v>486.64682529266577</v>
      </c>
      <c r="K26" s="203">
        <f t="shared" si="22"/>
        <v>439.4929718644634</v>
      </c>
      <c r="L26" s="93">
        <f t="shared" si="23"/>
        <v>404.7087275441654</v>
      </c>
      <c r="M26" s="204">
        <f t="shared" si="24"/>
        <v>0</v>
      </c>
      <c r="N26" s="205">
        <f t="shared" si="25"/>
        <v>130</v>
      </c>
      <c r="O26" s="202">
        <f t="shared" si="27"/>
        <v>1062.0723796472562</v>
      </c>
      <c r="P26" s="203">
        <f t="shared" si="28"/>
        <v>130</v>
      </c>
      <c r="Q26" s="203">
        <f t="shared" si="29"/>
        <v>1300.8218968792776</v>
      </c>
      <c r="R26" s="203">
        <f t="shared" si="30"/>
        <v>956.2908815845153</v>
      </c>
      <c r="S26" s="203">
        <f t="shared" si="31"/>
        <v>785.2558403900208</v>
      </c>
      <c r="T26" s="203">
        <f t="shared" si="32"/>
        <v>683.609375149343</v>
      </c>
      <c r="U26" s="203">
        <f t="shared" si="33"/>
        <v>616.6468252926658</v>
      </c>
      <c r="V26" s="203">
        <f t="shared" si="34"/>
        <v>569.4929718644635</v>
      </c>
      <c r="W26" s="205">
        <f t="shared" si="35"/>
        <v>534.7087275441654</v>
      </c>
      <c r="X26" s="197">
        <f t="shared" si="6"/>
        <v>863.5620363234198</v>
      </c>
      <c r="Y26" s="198">
        <f t="shared" si="7"/>
        <v>105.70189647463599</v>
      </c>
      <c r="Z26" s="198">
        <f t="shared" si="8"/>
        <v>1057.6872421221</v>
      </c>
      <c r="AA26" s="198">
        <f t="shared" si="9"/>
        <v>777.5519981914217</v>
      </c>
      <c r="AB26" s="198">
        <f t="shared" si="10"/>
        <v>638.4848580539174</v>
      </c>
      <c r="AC26" s="198">
        <f t="shared" si="11"/>
        <v>555.836980008665</v>
      </c>
      <c r="AD26" s="198">
        <f t="shared" si="12"/>
        <v>501.3902991422946</v>
      </c>
      <c r="AE26" s="198">
        <f t="shared" si="13"/>
        <v>463.0499011926946</v>
      </c>
      <c r="AF26" s="206">
        <f t="shared" si="14"/>
        <v>434.767127407367</v>
      </c>
      <c r="AG26" s="199">
        <f>rated_energyout*((1-'3.Inputs'!$J$17)^C26)</f>
        <v>3524.1503608546177</v>
      </c>
      <c r="AH26" s="207">
        <f>AG26/((1+'3.Inputs'!$J$29)^C26)</f>
        <v>2865.4567431085065</v>
      </c>
      <c r="AI26" s="6"/>
      <c r="AN26" s="20"/>
    </row>
    <row r="27" spans="2:40" ht="15">
      <c r="B27" s="24"/>
      <c r="C27" s="201">
        <v>8</v>
      </c>
      <c r="D27" s="202">
        <f t="shared" si="15"/>
        <v>932.0723796472561</v>
      </c>
      <c r="E27" s="203">
        <f t="shared" si="16"/>
        <v>0</v>
      </c>
      <c r="F27" s="203">
        <f t="shared" si="17"/>
        <v>1170.8218968792776</v>
      </c>
      <c r="G27" s="203">
        <f t="shared" si="18"/>
        <v>826.2908815845153</v>
      </c>
      <c r="H27" s="203">
        <f t="shared" si="19"/>
        <v>655.2558403900208</v>
      </c>
      <c r="I27" s="203">
        <f t="shared" si="20"/>
        <v>553.609375149343</v>
      </c>
      <c r="J27" s="203">
        <f t="shared" si="21"/>
        <v>486.64682529266577</v>
      </c>
      <c r="K27" s="203">
        <f t="shared" si="22"/>
        <v>439.4929718644634</v>
      </c>
      <c r="L27" s="93">
        <f t="shared" si="23"/>
        <v>404.7087275441654</v>
      </c>
      <c r="M27" s="204">
        <f t="shared" si="24"/>
        <v>0</v>
      </c>
      <c r="N27" s="205">
        <f t="shared" si="25"/>
        <v>130</v>
      </c>
      <c r="O27" s="202">
        <f t="shared" si="27"/>
        <v>1062.0723796472562</v>
      </c>
      <c r="P27" s="203">
        <f t="shared" si="28"/>
        <v>130</v>
      </c>
      <c r="Q27" s="203">
        <f t="shared" si="29"/>
        <v>1300.8218968792776</v>
      </c>
      <c r="R27" s="203">
        <f t="shared" si="30"/>
        <v>956.2908815845153</v>
      </c>
      <c r="S27" s="203">
        <f t="shared" si="31"/>
        <v>785.2558403900208</v>
      </c>
      <c r="T27" s="203">
        <f t="shared" si="32"/>
        <v>683.609375149343</v>
      </c>
      <c r="U27" s="203">
        <f t="shared" si="33"/>
        <v>616.6468252926658</v>
      </c>
      <c r="V27" s="203">
        <f t="shared" si="34"/>
        <v>569.4929718644635</v>
      </c>
      <c r="W27" s="205">
        <f t="shared" si="35"/>
        <v>534.7087275441654</v>
      </c>
      <c r="X27" s="197">
        <f t="shared" si="6"/>
        <v>838.4097440033202</v>
      </c>
      <c r="Y27" s="198">
        <f t="shared" si="7"/>
        <v>102.62320046081165</v>
      </c>
      <c r="Z27" s="198">
        <f t="shared" si="8"/>
        <v>1026.880817594272</v>
      </c>
      <c r="AA27" s="198">
        <f t="shared" si="9"/>
        <v>754.9048526130308</v>
      </c>
      <c r="AB27" s="198">
        <f t="shared" si="10"/>
        <v>619.8882117028325</v>
      </c>
      <c r="AC27" s="198">
        <f t="shared" si="11"/>
        <v>539.6475534064709</v>
      </c>
      <c r="AD27" s="198">
        <f t="shared" si="12"/>
        <v>486.7866981964026</v>
      </c>
      <c r="AE27" s="198">
        <f t="shared" si="13"/>
        <v>449.5630108666939</v>
      </c>
      <c r="AF27" s="206">
        <f t="shared" si="14"/>
        <v>422.1040071916185</v>
      </c>
      <c r="AG27" s="199">
        <f>rated_energyout*((1-'3.Inputs'!$J$17)^C27)</f>
        <v>3506.529609050345</v>
      </c>
      <c r="AH27" s="207">
        <f>AG27/((1+'3.Inputs'!$J$29)^C27)</f>
        <v>2768.0868537795773</v>
      </c>
      <c r="AI27" s="6"/>
      <c r="AN27" s="20"/>
    </row>
    <row r="28" spans="2:40" ht="15">
      <c r="B28" s="24"/>
      <c r="C28" s="201">
        <v>9</v>
      </c>
      <c r="D28" s="202">
        <f t="shared" si="15"/>
        <v>932.0723796472561</v>
      </c>
      <c r="E28" s="203">
        <f t="shared" si="16"/>
        <v>0</v>
      </c>
      <c r="F28" s="203">
        <f t="shared" si="17"/>
        <v>1170.8218968792776</v>
      </c>
      <c r="G28" s="203">
        <f t="shared" si="18"/>
        <v>826.2908815845153</v>
      </c>
      <c r="H28" s="203">
        <f t="shared" si="19"/>
        <v>655.2558403900208</v>
      </c>
      <c r="I28" s="203">
        <f t="shared" si="20"/>
        <v>553.609375149343</v>
      </c>
      <c r="J28" s="203">
        <f t="shared" si="21"/>
        <v>486.64682529266577</v>
      </c>
      <c r="K28" s="203">
        <f t="shared" si="22"/>
        <v>439.4929718644634</v>
      </c>
      <c r="L28" s="93">
        <f t="shared" si="23"/>
        <v>404.7087275441654</v>
      </c>
      <c r="M28" s="204">
        <f t="shared" si="24"/>
        <v>0</v>
      </c>
      <c r="N28" s="205">
        <f t="shared" si="25"/>
        <v>130</v>
      </c>
      <c r="O28" s="202">
        <f t="shared" si="27"/>
        <v>1062.0723796472562</v>
      </c>
      <c r="P28" s="203">
        <f t="shared" si="28"/>
        <v>130</v>
      </c>
      <c r="Q28" s="203">
        <f t="shared" si="29"/>
        <v>1300.8218968792776</v>
      </c>
      <c r="R28" s="203">
        <f t="shared" si="30"/>
        <v>956.2908815845153</v>
      </c>
      <c r="S28" s="203">
        <f t="shared" si="31"/>
        <v>785.2558403900208</v>
      </c>
      <c r="T28" s="203">
        <f t="shared" si="32"/>
        <v>683.609375149343</v>
      </c>
      <c r="U28" s="203">
        <f t="shared" si="33"/>
        <v>616.6468252926658</v>
      </c>
      <c r="V28" s="203">
        <f t="shared" si="34"/>
        <v>569.4929718644635</v>
      </c>
      <c r="W28" s="205">
        <f t="shared" si="35"/>
        <v>534.7087275441654</v>
      </c>
      <c r="X28" s="197">
        <f t="shared" si="6"/>
        <v>813.9900427216701</v>
      </c>
      <c r="Y28" s="198">
        <f t="shared" si="7"/>
        <v>99.63417520467151</v>
      </c>
      <c r="Z28" s="198">
        <f t="shared" si="8"/>
        <v>996.9716675672544</v>
      </c>
      <c r="AA28" s="198">
        <f t="shared" si="9"/>
        <v>732.9173326340106</v>
      </c>
      <c r="AB28" s="198">
        <f t="shared" si="10"/>
        <v>601.8332152454684</v>
      </c>
      <c r="AC28" s="198">
        <f t="shared" si="11"/>
        <v>523.9296635014281</v>
      </c>
      <c r="AD28" s="198">
        <f t="shared" si="12"/>
        <v>472.6084448508763</v>
      </c>
      <c r="AE28" s="198">
        <f t="shared" si="13"/>
        <v>436.4689425890232</v>
      </c>
      <c r="AF28" s="206">
        <f t="shared" si="14"/>
        <v>409.80971572001795</v>
      </c>
      <c r="AG28" s="199">
        <f>rated_energyout*((1-'3.Inputs'!$J$17)^C28)</f>
        <v>3488.996961005093</v>
      </c>
      <c r="AH28" s="207">
        <f>AG28/((1+'3.Inputs'!$J$29)^C28)</f>
        <v>2674.0256500103683</v>
      </c>
      <c r="AI28" s="6"/>
      <c r="AN28" s="20"/>
    </row>
    <row r="29" spans="2:40" ht="15">
      <c r="B29" s="24"/>
      <c r="C29" s="201">
        <v>10</v>
      </c>
      <c r="D29" s="202">
        <f t="shared" si="15"/>
        <v>932.0723796472561</v>
      </c>
      <c r="E29" s="203">
        <f t="shared" si="16"/>
        <v>0</v>
      </c>
      <c r="F29" s="203">
        <f t="shared" si="17"/>
        <v>1170.8218968792776</v>
      </c>
      <c r="G29" s="203">
        <f t="shared" si="18"/>
        <v>826.2908815845153</v>
      </c>
      <c r="H29" s="203">
        <f t="shared" si="19"/>
        <v>655.2558403900208</v>
      </c>
      <c r="I29" s="203">
        <f t="shared" si="20"/>
        <v>553.609375149343</v>
      </c>
      <c r="J29" s="203">
        <f t="shared" si="21"/>
        <v>486.64682529266577</v>
      </c>
      <c r="K29" s="203">
        <f t="shared" si="22"/>
        <v>439.4929718644634</v>
      </c>
      <c r="L29" s="93">
        <f t="shared" si="23"/>
        <v>404.7087275441654</v>
      </c>
      <c r="M29" s="204">
        <f t="shared" si="24"/>
        <v>1170</v>
      </c>
      <c r="N29" s="205">
        <f t="shared" si="25"/>
        <v>130</v>
      </c>
      <c r="O29" s="202">
        <f t="shared" si="27"/>
        <v>2232.072379647256</v>
      </c>
      <c r="P29" s="203">
        <f t="shared" si="28"/>
        <v>1300</v>
      </c>
      <c r="Q29" s="203">
        <f t="shared" si="29"/>
        <v>2470.8218968792776</v>
      </c>
      <c r="R29" s="203">
        <f t="shared" si="30"/>
        <v>2126.2908815845153</v>
      </c>
      <c r="S29" s="203">
        <f t="shared" si="31"/>
        <v>1955.2558403900207</v>
      </c>
      <c r="T29" s="203">
        <f t="shared" si="32"/>
        <v>1853.6093751493431</v>
      </c>
      <c r="U29" s="203">
        <f t="shared" si="33"/>
        <v>1786.6468252926657</v>
      </c>
      <c r="V29" s="203">
        <f t="shared" si="34"/>
        <v>1739.4929718644635</v>
      </c>
      <c r="W29" s="205">
        <f t="shared" si="35"/>
        <v>1704.7087275441654</v>
      </c>
      <c r="X29" s="197">
        <f t="shared" si="6"/>
        <v>1660.8714753045763</v>
      </c>
      <c r="Y29" s="198">
        <f t="shared" si="7"/>
        <v>967.3220893657427</v>
      </c>
      <c r="Z29" s="198">
        <f t="shared" si="8"/>
        <v>1838.5235382614542</v>
      </c>
      <c r="AA29" s="198">
        <f t="shared" si="9"/>
        <v>1582.160106287431</v>
      </c>
      <c r="AB29" s="198">
        <f t="shared" si="10"/>
        <v>1454.893972900497</v>
      </c>
      <c r="AC29" s="198">
        <f t="shared" si="11"/>
        <v>1379.2594566441473</v>
      </c>
      <c r="AD29" s="198">
        <f t="shared" si="12"/>
        <v>1329.433030769825</v>
      </c>
      <c r="AE29" s="198">
        <f t="shared" si="13"/>
        <v>1294.3461353699677</v>
      </c>
      <c r="AF29" s="206">
        <f t="shared" si="14"/>
        <v>1268.4633908369528</v>
      </c>
      <c r="AG29" s="199">
        <f>rated_energyout*((1-'3.Inputs'!$J$17)^C29)</f>
        <v>3471.5519762000677</v>
      </c>
      <c r="AH29" s="207">
        <f>AG29/((1+'3.Inputs'!$J$29)^C29)</f>
        <v>2583.1607007381713</v>
      </c>
      <c r="AI29" s="6"/>
      <c r="AN29" s="20"/>
    </row>
    <row r="30" spans="2:40" ht="15">
      <c r="B30" s="24"/>
      <c r="C30" s="201">
        <v>11</v>
      </c>
      <c r="D30" s="202">
        <f t="shared" si="15"/>
        <v>932.0723796472561</v>
      </c>
      <c r="E30" s="203">
        <f t="shared" si="16"/>
        <v>0</v>
      </c>
      <c r="F30" s="203">
        <f t="shared" si="17"/>
        <v>0</v>
      </c>
      <c r="G30" s="203">
        <f t="shared" si="18"/>
        <v>826.2908815845153</v>
      </c>
      <c r="H30" s="203">
        <f t="shared" si="19"/>
        <v>655.2558403900208</v>
      </c>
      <c r="I30" s="203">
        <f t="shared" si="20"/>
        <v>553.609375149343</v>
      </c>
      <c r="J30" s="203">
        <f t="shared" si="21"/>
        <v>486.64682529266577</v>
      </c>
      <c r="K30" s="203">
        <f t="shared" si="22"/>
        <v>439.4929718644634</v>
      </c>
      <c r="L30" s="93">
        <f t="shared" si="23"/>
        <v>404.7087275441654</v>
      </c>
      <c r="M30" s="204">
        <f t="shared" si="24"/>
        <v>0</v>
      </c>
      <c r="N30" s="205">
        <f t="shared" si="25"/>
        <v>130</v>
      </c>
      <c r="O30" s="202">
        <f t="shared" si="27"/>
        <v>1062.0723796472562</v>
      </c>
      <c r="P30" s="203">
        <f t="shared" si="28"/>
        <v>130</v>
      </c>
      <c r="Q30" s="203">
        <f t="shared" si="29"/>
        <v>130</v>
      </c>
      <c r="R30" s="203">
        <f t="shared" si="30"/>
        <v>956.2908815845153</v>
      </c>
      <c r="S30" s="203">
        <f t="shared" si="31"/>
        <v>785.2558403900208</v>
      </c>
      <c r="T30" s="203">
        <f t="shared" si="32"/>
        <v>683.609375149343</v>
      </c>
      <c r="U30" s="203">
        <f t="shared" si="33"/>
        <v>616.6468252926658</v>
      </c>
      <c r="V30" s="203">
        <f t="shared" si="34"/>
        <v>569.4929718644635</v>
      </c>
      <c r="W30" s="205">
        <f t="shared" si="35"/>
        <v>534.7087275441654</v>
      </c>
      <c r="X30" s="197">
        <f t="shared" si="6"/>
        <v>767.2636843450562</v>
      </c>
      <c r="Y30" s="198">
        <f t="shared" si="7"/>
        <v>93.9147659578391</v>
      </c>
      <c r="Z30" s="198">
        <f t="shared" si="8"/>
        <v>93.9147659578391</v>
      </c>
      <c r="AA30" s="198">
        <f t="shared" si="9"/>
        <v>690.8448794740414</v>
      </c>
      <c r="AB30" s="198">
        <f t="shared" si="10"/>
        <v>567.2855266711928</v>
      </c>
      <c r="AC30" s="198">
        <f t="shared" si="11"/>
        <v>493.8539574902706</v>
      </c>
      <c r="AD30" s="198">
        <f t="shared" si="12"/>
        <v>445.4787867385015</v>
      </c>
      <c r="AE30" s="198">
        <f t="shared" si="13"/>
        <v>411.4138397483487</v>
      </c>
      <c r="AF30" s="206">
        <f t="shared" si="14"/>
        <v>386.28496156095576</v>
      </c>
      <c r="AG30" s="199">
        <f>rated_energyout*((1-'3.Inputs'!$J$17)^C30)</f>
        <v>3454.194216319067</v>
      </c>
      <c r="AH30" s="207">
        <f>AG30/((1+'3.Inputs'!$J$29)^C30)</f>
        <v>2495.3833953732815</v>
      </c>
      <c r="AI30" s="6"/>
      <c r="AN30" s="20"/>
    </row>
    <row r="31" spans="2:40" ht="15">
      <c r="B31" s="24"/>
      <c r="C31" s="201">
        <v>12</v>
      </c>
      <c r="D31" s="202">
        <f t="shared" si="15"/>
        <v>932.0723796472561</v>
      </c>
      <c r="E31" s="203">
        <f t="shared" si="16"/>
        <v>0</v>
      </c>
      <c r="F31" s="203">
        <f t="shared" si="17"/>
        <v>0</v>
      </c>
      <c r="G31" s="203">
        <f t="shared" si="18"/>
        <v>826.2908815845153</v>
      </c>
      <c r="H31" s="203">
        <f t="shared" si="19"/>
        <v>655.2558403900208</v>
      </c>
      <c r="I31" s="203">
        <f t="shared" si="20"/>
        <v>553.609375149343</v>
      </c>
      <c r="J31" s="203">
        <f t="shared" si="21"/>
        <v>486.64682529266577</v>
      </c>
      <c r="K31" s="203">
        <f t="shared" si="22"/>
        <v>439.4929718644634</v>
      </c>
      <c r="L31" s="93">
        <f t="shared" si="23"/>
        <v>404.7087275441654</v>
      </c>
      <c r="M31" s="204">
        <f t="shared" si="24"/>
        <v>0</v>
      </c>
      <c r="N31" s="205">
        <f t="shared" si="25"/>
        <v>130</v>
      </c>
      <c r="O31" s="202">
        <f t="shared" si="27"/>
        <v>1062.0723796472562</v>
      </c>
      <c r="P31" s="203">
        <f t="shared" si="28"/>
        <v>130</v>
      </c>
      <c r="Q31" s="203">
        <f t="shared" si="29"/>
        <v>130</v>
      </c>
      <c r="R31" s="203">
        <f t="shared" si="30"/>
        <v>956.2908815845153</v>
      </c>
      <c r="S31" s="203">
        <f t="shared" si="31"/>
        <v>785.2558403900208</v>
      </c>
      <c r="T31" s="203">
        <f t="shared" si="32"/>
        <v>683.609375149343</v>
      </c>
      <c r="U31" s="203">
        <f t="shared" si="33"/>
        <v>616.6468252926658</v>
      </c>
      <c r="V31" s="203">
        <f t="shared" si="34"/>
        <v>569.4929718644635</v>
      </c>
      <c r="W31" s="205">
        <f t="shared" si="35"/>
        <v>534.7087275441654</v>
      </c>
      <c r="X31" s="197">
        <f t="shared" si="6"/>
        <v>744.9161983932585</v>
      </c>
      <c r="Y31" s="198">
        <f t="shared" si="7"/>
        <v>91.17938442508651</v>
      </c>
      <c r="Z31" s="198">
        <f t="shared" si="8"/>
        <v>91.17938442508651</v>
      </c>
      <c r="AA31" s="198">
        <f t="shared" si="9"/>
        <v>670.7231839553801</v>
      </c>
      <c r="AB31" s="198">
        <f t="shared" si="10"/>
        <v>550.7626472535853</v>
      </c>
      <c r="AC31" s="198">
        <f t="shared" si="11"/>
        <v>479.4698616410395</v>
      </c>
      <c r="AD31" s="198">
        <f t="shared" si="12"/>
        <v>432.5036764451472</v>
      </c>
      <c r="AE31" s="198">
        <f t="shared" si="13"/>
        <v>399.43091237703766</v>
      </c>
      <c r="AF31" s="206">
        <f t="shared" si="14"/>
        <v>375.0339432630639</v>
      </c>
      <c r="AG31" s="199">
        <f>rated_energyout*((1-'3.Inputs'!$J$17)^C31)</f>
        <v>3436.923245237472</v>
      </c>
      <c r="AH31" s="207">
        <f>AG31/((1+'3.Inputs'!$J$29)^C31)</f>
        <v>2410.5888139771027</v>
      </c>
      <c r="AI31" s="6"/>
      <c r="AN31" s="20"/>
    </row>
    <row r="32" spans="2:40" ht="15">
      <c r="B32" s="24"/>
      <c r="C32" s="201">
        <v>13</v>
      </c>
      <c r="D32" s="202">
        <f t="shared" si="15"/>
        <v>932.0723796472561</v>
      </c>
      <c r="E32" s="203">
        <f t="shared" si="16"/>
        <v>0</v>
      </c>
      <c r="F32" s="203">
        <f t="shared" si="17"/>
        <v>0</v>
      </c>
      <c r="G32" s="203">
        <f t="shared" si="18"/>
        <v>826.2908815845153</v>
      </c>
      <c r="H32" s="203">
        <f t="shared" si="19"/>
        <v>655.2558403900208</v>
      </c>
      <c r="I32" s="203">
        <f t="shared" si="20"/>
        <v>553.609375149343</v>
      </c>
      <c r="J32" s="203">
        <f t="shared" si="21"/>
        <v>486.64682529266577</v>
      </c>
      <c r="K32" s="203">
        <f t="shared" si="22"/>
        <v>439.4929718644634</v>
      </c>
      <c r="L32" s="93">
        <f t="shared" si="23"/>
        <v>404.7087275441654</v>
      </c>
      <c r="M32" s="204">
        <f t="shared" si="24"/>
        <v>0</v>
      </c>
      <c r="N32" s="205">
        <f t="shared" si="25"/>
        <v>130</v>
      </c>
      <c r="O32" s="202">
        <f t="shared" si="27"/>
        <v>1062.0723796472562</v>
      </c>
      <c r="P32" s="203">
        <f t="shared" si="28"/>
        <v>130</v>
      </c>
      <c r="Q32" s="203">
        <f t="shared" si="29"/>
        <v>130</v>
      </c>
      <c r="R32" s="203">
        <f t="shared" si="30"/>
        <v>956.2908815845153</v>
      </c>
      <c r="S32" s="203">
        <f t="shared" si="31"/>
        <v>785.2558403900208</v>
      </c>
      <c r="T32" s="203">
        <f t="shared" si="32"/>
        <v>683.609375149343</v>
      </c>
      <c r="U32" s="203">
        <f t="shared" si="33"/>
        <v>616.6468252926658</v>
      </c>
      <c r="V32" s="203">
        <f t="shared" si="34"/>
        <v>569.4929718644635</v>
      </c>
      <c r="W32" s="205">
        <f t="shared" si="35"/>
        <v>534.7087275441654</v>
      </c>
      <c r="X32" s="197">
        <f t="shared" si="6"/>
        <v>723.2196100905422</v>
      </c>
      <c r="Y32" s="198">
        <f t="shared" si="7"/>
        <v>88.52367419911313</v>
      </c>
      <c r="Z32" s="198">
        <f t="shared" si="8"/>
        <v>88.52367419911313</v>
      </c>
      <c r="AA32" s="198">
        <f t="shared" si="9"/>
        <v>651.1875572382331</v>
      </c>
      <c r="AB32" s="198">
        <f t="shared" si="10"/>
        <v>534.7210167510538</v>
      </c>
      <c r="AC32" s="198">
        <f t="shared" si="11"/>
        <v>465.5047200398442</v>
      </c>
      <c r="AD32" s="198">
        <f t="shared" si="12"/>
        <v>419.90648198557983</v>
      </c>
      <c r="AE32" s="198">
        <f t="shared" si="13"/>
        <v>387.79700230780355</v>
      </c>
      <c r="AF32" s="206">
        <f t="shared" si="14"/>
        <v>364.1106245272465</v>
      </c>
      <c r="AG32" s="199">
        <f>rated_energyout*((1-'3.Inputs'!$J$17)^C32)</f>
        <v>3419.738629011285</v>
      </c>
      <c r="AH32" s="207">
        <f>AG32/((1+'3.Inputs'!$J$29)^C32)</f>
        <v>2328.6756018516676</v>
      </c>
      <c r="AI32" s="6"/>
      <c r="AN32" s="20"/>
    </row>
    <row r="33" spans="2:40" ht="15">
      <c r="B33" s="24"/>
      <c r="C33" s="201">
        <v>14</v>
      </c>
      <c r="D33" s="202">
        <f t="shared" si="15"/>
        <v>0</v>
      </c>
      <c r="E33" s="203">
        <f t="shared" si="16"/>
        <v>0</v>
      </c>
      <c r="F33" s="203">
        <f t="shared" si="17"/>
        <v>0</v>
      </c>
      <c r="G33" s="203">
        <f t="shared" si="18"/>
        <v>826.2908815845153</v>
      </c>
      <c r="H33" s="203">
        <f t="shared" si="19"/>
        <v>655.2558403900208</v>
      </c>
      <c r="I33" s="203">
        <f t="shared" si="20"/>
        <v>553.609375149343</v>
      </c>
      <c r="J33" s="203">
        <f t="shared" si="21"/>
        <v>486.64682529266577</v>
      </c>
      <c r="K33" s="203">
        <f t="shared" si="22"/>
        <v>439.4929718644634</v>
      </c>
      <c r="L33" s="93">
        <f t="shared" si="23"/>
        <v>404.7087275441654</v>
      </c>
      <c r="M33" s="204">
        <f t="shared" si="24"/>
        <v>0</v>
      </c>
      <c r="N33" s="205">
        <f t="shared" si="25"/>
        <v>130</v>
      </c>
      <c r="O33" s="202">
        <f t="shared" si="27"/>
        <v>130</v>
      </c>
      <c r="P33" s="203">
        <f t="shared" si="28"/>
        <v>130</v>
      </c>
      <c r="Q33" s="203">
        <f t="shared" si="29"/>
        <v>130</v>
      </c>
      <c r="R33" s="203">
        <f t="shared" si="30"/>
        <v>956.2908815845153</v>
      </c>
      <c r="S33" s="203">
        <f t="shared" si="31"/>
        <v>785.2558403900208</v>
      </c>
      <c r="T33" s="203">
        <f t="shared" si="32"/>
        <v>683.609375149343</v>
      </c>
      <c r="U33" s="203">
        <f t="shared" si="33"/>
        <v>616.6468252926658</v>
      </c>
      <c r="V33" s="203">
        <f t="shared" si="34"/>
        <v>569.4929718644635</v>
      </c>
      <c r="W33" s="205">
        <f t="shared" si="35"/>
        <v>534.7087275441654</v>
      </c>
      <c r="X33" s="197">
        <f t="shared" si="6"/>
        <v>85.9453147564205</v>
      </c>
      <c r="Y33" s="198">
        <f t="shared" si="7"/>
        <v>85.9453147564205</v>
      </c>
      <c r="Z33" s="198">
        <f t="shared" si="8"/>
        <v>85.9453147564205</v>
      </c>
      <c r="AA33" s="198">
        <f t="shared" si="9"/>
        <v>632.2209293575078</v>
      </c>
      <c r="AB33" s="198">
        <f t="shared" si="10"/>
        <v>519.1466182049064</v>
      </c>
      <c r="AC33" s="198">
        <f t="shared" si="11"/>
        <v>451.946330135771</v>
      </c>
      <c r="AD33" s="198">
        <f t="shared" si="12"/>
        <v>407.67619610250466</v>
      </c>
      <c r="AE33" s="198">
        <f t="shared" si="13"/>
        <v>376.50194398815876</v>
      </c>
      <c r="AF33" s="206">
        <f t="shared" si="14"/>
        <v>353.5054607060645</v>
      </c>
      <c r="AG33" s="199">
        <f>rated_energyout*((1-'3.Inputs'!$J$17)^C33)</f>
        <v>3402.639935866229</v>
      </c>
      <c r="AH33" s="207">
        <f>AG33/((1+'3.Inputs'!$J$29)^C33)</f>
        <v>2249.5458483906887</v>
      </c>
      <c r="AI33" s="6"/>
      <c r="AN33" s="20"/>
    </row>
    <row r="34" spans="2:40" ht="15">
      <c r="B34" s="24"/>
      <c r="C34" s="201">
        <v>15</v>
      </c>
      <c r="D34" s="202">
        <f t="shared" si="15"/>
        <v>0</v>
      </c>
      <c r="E34" s="203">
        <f t="shared" si="16"/>
        <v>0</v>
      </c>
      <c r="F34" s="203">
        <f t="shared" si="17"/>
        <v>0</v>
      </c>
      <c r="G34" s="203">
        <f t="shared" si="18"/>
        <v>826.2908815845153</v>
      </c>
      <c r="H34" s="203">
        <f t="shared" si="19"/>
        <v>655.2558403900208</v>
      </c>
      <c r="I34" s="203">
        <f t="shared" si="20"/>
        <v>553.609375149343</v>
      </c>
      <c r="J34" s="203">
        <f t="shared" si="21"/>
        <v>486.64682529266577</v>
      </c>
      <c r="K34" s="203">
        <f t="shared" si="22"/>
        <v>439.4929718644634</v>
      </c>
      <c r="L34" s="93">
        <f t="shared" si="23"/>
        <v>404.7087275441654</v>
      </c>
      <c r="M34" s="204">
        <f t="shared" si="24"/>
        <v>0</v>
      </c>
      <c r="N34" s="205">
        <f t="shared" si="25"/>
        <v>130</v>
      </c>
      <c r="O34" s="202">
        <f t="shared" si="27"/>
        <v>130</v>
      </c>
      <c r="P34" s="203">
        <f t="shared" si="28"/>
        <v>130</v>
      </c>
      <c r="Q34" s="203">
        <f t="shared" si="29"/>
        <v>130</v>
      </c>
      <c r="R34" s="203">
        <f t="shared" si="30"/>
        <v>956.2908815845153</v>
      </c>
      <c r="S34" s="203">
        <f t="shared" si="31"/>
        <v>785.2558403900208</v>
      </c>
      <c r="T34" s="203">
        <f t="shared" si="32"/>
        <v>683.609375149343</v>
      </c>
      <c r="U34" s="203">
        <f t="shared" si="33"/>
        <v>616.6468252926658</v>
      </c>
      <c r="V34" s="203">
        <f t="shared" si="34"/>
        <v>569.4929718644635</v>
      </c>
      <c r="W34" s="205">
        <f t="shared" si="35"/>
        <v>534.7087275441654</v>
      </c>
      <c r="X34" s="197">
        <f t="shared" si="6"/>
        <v>83.4420531615733</v>
      </c>
      <c r="Y34" s="198">
        <f t="shared" si="7"/>
        <v>83.4420531615733</v>
      </c>
      <c r="Z34" s="198">
        <f t="shared" si="8"/>
        <v>83.4420531615733</v>
      </c>
      <c r="AA34" s="198">
        <f t="shared" si="9"/>
        <v>613.8067275315609</v>
      </c>
      <c r="AB34" s="198">
        <f t="shared" si="10"/>
        <v>504.02584291738486</v>
      </c>
      <c r="AC34" s="198">
        <f t="shared" si="11"/>
        <v>438.7828447920106</v>
      </c>
      <c r="AD34" s="198">
        <f t="shared" si="12"/>
        <v>395.802132138354</v>
      </c>
      <c r="AE34" s="198">
        <f t="shared" si="13"/>
        <v>365.53586794966867</v>
      </c>
      <c r="AF34" s="206">
        <f t="shared" si="14"/>
        <v>343.20918515151897</v>
      </c>
      <c r="AG34" s="199">
        <f>rated_energyout*((1-'3.Inputs'!$J$17)^C34)</f>
        <v>3385.6267361868972</v>
      </c>
      <c r="AH34" s="207">
        <f>AG34/((1+'3.Inputs'!$J$29)^C34)</f>
        <v>2173.1049700473154</v>
      </c>
      <c r="AI34" s="6"/>
      <c r="AN34" s="20"/>
    </row>
    <row r="35" spans="2:40" ht="15">
      <c r="B35" s="24"/>
      <c r="C35" s="201">
        <v>16</v>
      </c>
      <c r="D35" s="202">
        <f t="shared" si="15"/>
        <v>0</v>
      </c>
      <c r="E35" s="203">
        <f t="shared" si="16"/>
        <v>0</v>
      </c>
      <c r="F35" s="203">
        <f t="shared" si="17"/>
        <v>0</v>
      </c>
      <c r="G35" s="203">
        <f t="shared" si="18"/>
        <v>0</v>
      </c>
      <c r="H35" s="203">
        <f t="shared" si="19"/>
        <v>655.2558403900208</v>
      </c>
      <c r="I35" s="203">
        <f t="shared" si="20"/>
        <v>553.609375149343</v>
      </c>
      <c r="J35" s="203">
        <f t="shared" si="21"/>
        <v>486.64682529266577</v>
      </c>
      <c r="K35" s="203">
        <f t="shared" si="22"/>
        <v>439.4929718644634</v>
      </c>
      <c r="L35" s="93">
        <f t="shared" si="23"/>
        <v>404.7087275441654</v>
      </c>
      <c r="M35" s="204">
        <f t="shared" si="24"/>
        <v>0</v>
      </c>
      <c r="N35" s="205">
        <f t="shared" si="25"/>
        <v>130</v>
      </c>
      <c r="O35" s="202">
        <f t="shared" si="27"/>
        <v>130</v>
      </c>
      <c r="P35" s="203">
        <f t="shared" si="28"/>
        <v>130</v>
      </c>
      <c r="Q35" s="203">
        <f t="shared" si="29"/>
        <v>130</v>
      </c>
      <c r="R35" s="203">
        <f t="shared" si="30"/>
        <v>130</v>
      </c>
      <c r="S35" s="203">
        <f t="shared" si="31"/>
        <v>785.2558403900208</v>
      </c>
      <c r="T35" s="203">
        <f t="shared" si="32"/>
        <v>683.609375149343</v>
      </c>
      <c r="U35" s="203">
        <f t="shared" si="33"/>
        <v>616.6468252926658</v>
      </c>
      <c r="V35" s="203">
        <f t="shared" si="34"/>
        <v>569.4929718644635</v>
      </c>
      <c r="W35" s="205">
        <f t="shared" si="35"/>
        <v>534.7087275441654</v>
      </c>
      <c r="X35" s="197">
        <f t="shared" si="6"/>
        <v>81.01170209861486</v>
      </c>
      <c r="Y35" s="198">
        <f t="shared" si="7"/>
        <v>81.01170209861486</v>
      </c>
      <c r="Z35" s="198">
        <f t="shared" si="8"/>
        <v>81.01170209861486</v>
      </c>
      <c r="AA35" s="198">
        <f t="shared" si="9"/>
        <v>81.01170209861486</v>
      </c>
      <c r="AB35" s="198">
        <f t="shared" si="10"/>
        <v>489.3454785605679</v>
      </c>
      <c r="AC35" s="198">
        <f t="shared" si="11"/>
        <v>426.002761933991</v>
      </c>
      <c r="AD35" s="198">
        <f t="shared" si="12"/>
        <v>384.2739146974311</v>
      </c>
      <c r="AE35" s="198">
        <f t="shared" si="13"/>
        <v>354.8891921841444</v>
      </c>
      <c r="AF35" s="206">
        <f t="shared" si="14"/>
        <v>333.2128011179796</v>
      </c>
      <c r="AG35" s="199">
        <f>rated_energyout*((1-'3.Inputs'!$J$17)^C35)</f>
        <v>3368.6986025059628</v>
      </c>
      <c r="AH35" s="207">
        <f>AG35/((1+'3.Inputs'!$J$29)^C35)</f>
        <v>2099.2615972787175</v>
      </c>
      <c r="AI35" s="6"/>
      <c r="AN35" s="20"/>
    </row>
    <row r="36" spans="2:40" ht="15">
      <c r="B36" s="24"/>
      <c r="C36" s="201">
        <v>17</v>
      </c>
      <c r="D36" s="202">
        <f t="shared" si="15"/>
        <v>0</v>
      </c>
      <c r="E36" s="203">
        <f t="shared" si="16"/>
        <v>0</v>
      </c>
      <c r="F36" s="203">
        <f t="shared" si="17"/>
        <v>0</v>
      </c>
      <c r="G36" s="203">
        <f t="shared" si="18"/>
        <v>0</v>
      </c>
      <c r="H36" s="203">
        <f t="shared" si="19"/>
        <v>655.2558403900208</v>
      </c>
      <c r="I36" s="203">
        <f t="shared" si="20"/>
        <v>553.609375149343</v>
      </c>
      <c r="J36" s="203">
        <f t="shared" si="21"/>
        <v>486.64682529266577</v>
      </c>
      <c r="K36" s="203">
        <f t="shared" si="22"/>
        <v>439.4929718644634</v>
      </c>
      <c r="L36" s="93">
        <f t="shared" si="23"/>
        <v>404.7087275441654</v>
      </c>
      <c r="M36" s="204">
        <f t="shared" si="24"/>
        <v>0</v>
      </c>
      <c r="N36" s="205">
        <f t="shared" si="25"/>
        <v>130</v>
      </c>
      <c r="O36" s="202">
        <f t="shared" si="27"/>
        <v>130</v>
      </c>
      <c r="P36" s="203">
        <f t="shared" si="28"/>
        <v>130</v>
      </c>
      <c r="Q36" s="203">
        <f t="shared" si="29"/>
        <v>130</v>
      </c>
      <c r="R36" s="203">
        <f t="shared" si="30"/>
        <v>130</v>
      </c>
      <c r="S36" s="203">
        <f t="shared" si="31"/>
        <v>785.2558403900208</v>
      </c>
      <c r="T36" s="203">
        <f t="shared" si="32"/>
        <v>683.609375149343</v>
      </c>
      <c r="U36" s="203">
        <f t="shared" si="33"/>
        <v>616.6468252926658</v>
      </c>
      <c r="V36" s="203">
        <f t="shared" si="34"/>
        <v>569.4929718644635</v>
      </c>
      <c r="W36" s="205">
        <f t="shared" si="35"/>
        <v>534.7087275441654</v>
      </c>
      <c r="X36" s="197">
        <f t="shared" si="6"/>
        <v>78.65213795982027</v>
      </c>
      <c r="Y36" s="198">
        <f t="shared" si="7"/>
        <v>78.65213795982027</v>
      </c>
      <c r="Z36" s="198">
        <f t="shared" si="8"/>
        <v>78.65213795982027</v>
      </c>
      <c r="AA36" s="198">
        <f t="shared" si="9"/>
        <v>78.65213795982027</v>
      </c>
      <c r="AB36" s="198">
        <f t="shared" si="10"/>
        <v>475.09269763161933</v>
      </c>
      <c r="AC36" s="198">
        <f t="shared" si="11"/>
        <v>413.5949144990204</v>
      </c>
      <c r="AD36" s="198">
        <f t="shared" si="12"/>
        <v>373.0814705800302</v>
      </c>
      <c r="AE36" s="198">
        <f t="shared" si="13"/>
        <v>344.55261377101397</v>
      </c>
      <c r="AF36" s="206">
        <f t="shared" si="14"/>
        <v>323.5075739009511</v>
      </c>
      <c r="AG36" s="199">
        <f>rated_energyout*((1-'3.Inputs'!$J$17)^C36)</f>
        <v>3351.855109493433</v>
      </c>
      <c r="AH36" s="207">
        <f>AG36/((1+'3.Inputs'!$J$29)^C36)</f>
        <v>2027.9274653323532</v>
      </c>
      <c r="AI36" s="6"/>
      <c r="AN36" s="20"/>
    </row>
    <row r="37" spans="2:40" ht="15">
      <c r="B37" s="24"/>
      <c r="C37" s="201">
        <v>18</v>
      </c>
      <c r="D37" s="202">
        <f t="shared" si="15"/>
        <v>0</v>
      </c>
      <c r="E37" s="203">
        <f t="shared" si="16"/>
        <v>0</v>
      </c>
      <c r="F37" s="203">
        <f t="shared" si="17"/>
        <v>0</v>
      </c>
      <c r="G37" s="203">
        <f t="shared" si="18"/>
        <v>0</v>
      </c>
      <c r="H37" s="203">
        <f t="shared" si="19"/>
        <v>655.2558403900208</v>
      </c>
      <c r="I37" s="203">
        <f t="shared" si="20"/>
        <v>553.609375149343</v>
      </c>
      <c r="J37" s="203">
        <f t="shared" si="21"/>
        <v>486.64682529266577</v>
      </c>
      <c r="K37" s="203">
        <f t="shared" si="22"/>
        <v>439.4929718644634</v>
      </c>
      <c r="L37" s="93">
        <f t="shared" si="23"/>
        <v>404.7087275441654</v>
      </c>
      <c r="M37" s="204">
        <f t="shared" si="24"/>
        <v>0</v>
      </c>
      <c r="N37" s="205">
        <f t="shared" si="25"/>
        <v>130</v>
      </c>
      <c r="O37" s="202">
        <f t="shared" si="27"/>
        <v>130</v>
      </c>
      <c r="P37" s="203">
        <f t="shared" si="28"/>
        <v>130</v>
      </c>
      <c r="Q37" s="203">
        <f t="shared" si="29"/>
        <v>130</v>
      </c>
      <c r="R37" s="203">
        <f t="shared" si="30"/>
        <v>130</v>
      </c>
      <c r="S37" s="203">
        <f t="shared" si="31"/>
        <v>785.2558403900208</v>
      </c>
      <c r="T37" s="203">
        <f t="shared" si="32"/>
        <v>683.609375149343</v>
      </c>
      <c r="U37" s="203">
        <f t="shared" si="33"/>
        <v>616.6468252926658</v>
      </c>
      <c r="V37" s="203">
        <f t="shared" si="34"/>
        <v>569.4929718644635</v>
      </c>
      <c r="W37" s="205">
        <f t="shared" si="35"/>
        <v>534.7087275441654</v>
      </c>
      <c r="X37" s="197">
        <f t="shared" si="6"/>
        <v>76.36129899011675</v>
      </c>
      <c r="Y37" s="198">
        <f t="shared" si="7"/>
        <v>76.36129899011675</v>
      </c>
      <c r="Z37" s="198">
        <f t="shared" si="8"/>
        <v>76.36129899011675</v>
      </c>
      <c r="AA37" s="198">
        <f t="shared" si="9"/>
        <v>76.36129899011675</v>
      </c>
      <c r="AB37" s="198">
        <f t="shared" si="10"/>
        <v>461.2550462442906</v>
      </c>
      <c r="AC37" s="198">
        <f t="shared" si="11"/>
        <v>401.54846067866055</v>
      </c>
      <c r="AD37" s="198">
        <f t="shared" si="12"/>
        <v>362.2150199806119</v>
      </c>
      <c r="AE37" s="198">
        <f t="shared" si="13"/>
        <v>334.51710074855725</v>
      </c>
      <c r="AF37" s="206">
        <f t="shared" si="14"/>
        <v>314.0850232048069</v>
      </c>
      <c r="AG37" s="199">
        <f>rated_energyout*((1-'3.Inputs'!$J$17)^C37)</f>
        <v>3335.0958339459658</v>
      </c>
      <c r="AH37" s="207">
        <f>AG37/((1+'3.Inputs'!$J$29)^C37)</f>
        <v>1959.0173087433898</v>
      </c>
      <c r="AI37" s="6"/>
      <c r="AN37" s="20"/>
    </row>
    <row r="38" spans="2:40" ht="15">
      <c r="B38" s="24"/>
      <c r="C38" s="201">
        <v>19</v>
      </c>
      <c r="D38" s="202">
        <f t="shared" si="15"/>
        <v>0</v>
      </c>
      <c r="E38" s="203">
        <f t="shared" si="16"/>
        <v>0</v>
      </c>
      <c r="F38" s="203">
        <f t="shared" si="17"/>
        <v>0</v>
      </c>
      <c r="G38" s="203">
        <f t="shared" si="18"/>
        <v>0</v>
      </c>
      <c r="H38" s="203">
        <f t="shared" si="19"/>
        <v>655.2558403900208</v>
      </c>
      <c r="I38" s="203">
        <f t="shared" si="20"/>
        <v>553.609375149343</v>
      </c>
      <c r="J38" s="203">
        <f t="shared" si="21"/>
        <v>486.64682529266577</v>
      </c>
      <c r="K38" s="203">
        <f t="shared" si="22"/>
        <v>439.4929718644634</v>
      </c>
      <c r="L38" s="93">
        <f t="shared" si="23"/>
        <v>404.7087275441654</v>
      </c>
      <c r="M38" s="204">
        <f t="shared" si="24"/>
        <v>0</v>
      </c>
      <c r="N38" s="205">
        <f t="shared" si="25"/>
        <v>130</v>
      </c>
      <c r="O38" s="202">
        <f t="shared" si="27"/>
        <v>130</v>
      </c>
      <c r="P38" s="203">
        <f t="shared" si="28"/>
        <v>130</v>
      </c>
      <c r="Q38" s="203">
        <f t="shared" si="29"/>
        <v>130</v>
      </c>
      <c r="R38" s="203">
        <f t="shared" si="30"/>
        <v>130</v>
      </c>
      <c r="S38" s="203">
        <f t="shared" si="31"/>
        <v>785.2558403900208</v>
      </c>
      <c r="T38" s="203">
        <f t="shared" si="32"/>
        <v>683.609375149343</v>
      </c>
      <c r="U38" s="203">
        <f t="shared" si="33"/>
        <v>616.6468252926658</v>
      </c>
      <c r="V38" s="203">
        <f t="shared" si="34"/>
        <v>569.4929718644635</v>
      </c>
      <c r="W38" s="205">
        <f t="shared" si="35"/>
        <v>534.7087275441654</v>
      </c>
      <c r="X38" s="197">
        <f t="shared" si="6"/>
        <v>74.13718348555025</v>
      </c>
      <c r="Y38" s="198">
        <f t="shared" si="7"/>
        <v>74.13718348555025</v>
      </c>
      <c r="Z38" s="198">
        <f t="shared" si="8"/>
        <v>74.13718348555025</v>
      </c>
      <c r="AA38" s="198">
        <f t="shared" si="9"/>
        <v>74.13718348555025</v>
      </c>
      <c r="AB38" s="198">
        <f t="shared" si="10"/>
        <v>447.82043324688414</v>
      </c>
      <c r="AC38" s="198">
        <f t="shared" si="11"/>
        <v>389.85287444530155</v>
      </c>
      <c r="AD38" s="198">
        <f t="shared" si="12"/>
        <v>351.66506794234164</v>
      </c>
      <c r="AE38" s="198">
        <f t="shared" si="13"/>
        <v>324.7738842219003</v>
      </c>
      <c r="AF38" s="206">
        <f t="shared" si="14"/>
        <v>304.93691573282223</v>
      </c>
      <c r="AG38" s="199">
        <f>rated_energyout*((1-'3.Inputs'!$J$17)^C38)</f>
        <v>3318.420354776236</v>
      </c>
      <c r="AH38" s="207">
        <f>AG38/((1+'3.Inputs'!$J$29)^C38)</f>
        <v>1892.448759417158</v>
      </c>
      <c r="AI38" s="6"/>
      <c r="AN38" s="20"/>
    </row>
    <row r="39" spans="2:40" ht="15">
      <c r="B39" s="24"/>
      <c r="C39" s="201">
        <v>20</v>
      </c>
      <c r="D39" s="202">
        <f t="shared" si="15"/>
        <v>0</v>
      </c>
      <c r="E39" s="203">
        <f t="shared" si="16"/>
        <v>0</v>
      </c>
      <c r="F39" s="203">
        <f t="shared" si="17"/>
        <v>0</v>
      </c>
      <c r="G39" s="203">
        <f t="shared" si="18"/>
        <v>0</v>
      </c>
      <c r="H39" s="203">
        <f t="shared" si="19"/>
        <v>655.2558403900208</v>
      </c>
      <c r="I39" s="203">
        <f t="shared" si="20"/>
        <v>553.609375149343</v>
      </c>
      <c r="J39" s="203">
        <f t="shared" si="21"/>
        <v>486.64682529266577</v>
      </c>
      <c r="K39" s="203">
        <f t="shared" si="22"/>
        <v>439.4929718644634</v>
      </c>
      <c r="L39" s="93">
        <f t="shared" si="23"/>
        <v>404.7087275441654</v>
      </c>
      <c r="M39" s="204">
        <f t="shared" si="24"/>
        <v>1170</v>
      </c>
      <c r="N39" s="205">
        <f t="shared" si="25"/>
        <v>130</v>
      </c>
      <c r="O39" s="202">
        <f t="shared" si="27"/>
        <v>1300</v>
      </c>
      <c r="P39" s="203">
        <f t="shared" si="28"/>
        <v>1300</v>
      </c>
      <c r="Q39" s="203">
        <f t="shared" si="29"/>
        <v>1300</v>
      </c>
      <c r="R39" s="203">
        <f t="shared" si="30"/>
        <v>1300</v>
      </c>
      <c r="S39" s="203">
        <f t="shared" si="31"/>
        <v>1955.2558403900207</v>
      </c>
      <c r="T39" s="203">
        <f t="shared" si="32"/>
        <v>1853.6093751493431</v>
      </c>
      <c r="U39" s="203">
        <f t="shared" si="33"/>
        <v>1786.6468252926657</v>
      </c>
      <c r="V39" s="203">
        <f t="shared" si="34"/>
        <v>1739.4929718644635</v>
      </c>
      <c r="W39" s="205">
        <f t="shared" si="35"/>
        <v>1704.7087275441654</v>
      </c>
      <c r="X39" s="197">
        <f t="shared" si="6"/>
        <v>719.7784804422355</v>
      </c>
      <c r="Y39" s="198">
        <f t="shared" si="7"/>
        <v>719.7784804422355</v>
      </c>
      <c r="Z39" s="198">
        <f t="shared" si="8"/>
        <v>719.7784804422355</v>
      </c>
      <c r="AA39" s="198">
        <f t="shared" si="9"/>
        <v>719.7784804422355</v>
      </c>
      <c r="AB39" s="198">
        <f t="shared" si="10"/>
        <v>1082.5777520551808</v>
      </c>
      <c r="AC39" s="198">
        <f t="shared" si="11"/>
        <v>1026.2985687526736</v>
      </c>
      <c r="AD39" s="198">
        <f t="shared" si="12"/>
        <v>989.2230284585377</v>
      </c>
      <c r="AE39" s="198">
        <f t="shared" si="13"/>
        <v>963.115083098886</v>
      </c>
      <c r="AF39" s="206">
        <f t="shared" si="14"/>
        <v>943.8558903910432</v>
      </c>
      <c r="AG39" s="199">
        <f>rated_energyout*((1-'3.Inputs'!$J$17)^C39)</f>
        <v>3301.828253002355</v>
      </c>
      <c r="AH39" s="207">
        <f>AG39/((1+'3.Inputs'!$J$29)^C39)</f>
        <v>1828.1422481748277</v>
      </c>
      <c r="AI39" s="6"/>
      <c r="AN39" s="20"/>
    </row>
    <row r="40" spans="2:40" ht="15">
      <c r="B40" s="24"/>
      <c r="C40" s="201">
        <v>21</v>
      </c>
      <c r="D40" s="202">
        <f t="shared" si="15"/>
        <v>0</v>
      </c>
      <c r="E40" s="203">
        <f t="shared" si="16"/>
        <v>0</v>
      </c>
      <c r="F40" s="203">
        <f t="shared" si="17"/>
        <v>0</v>
      </c>
      <c r="G40" s="203">
        <f t="shared" si="18"/>
        <v>0</v>
      </c>
      <c r="H40" s="203">
        <f t="shared" si="19"/>
        <v>0</v>
      </c>
      <c r="I40" s="203">
        <f t="shared" si="20"/>
        <v>553.609375149343</v>
      </c>
      <c r="J40" s="203">
        <f t="shared" si="21"/>
        <v>486.64682529266577</v>
      </c>
      <c r="K40" s="203">
        <f t="shared" si="22"/>
        <v>439.4929718644634</v>
      </c>
      <c r="L40" s="93">
        <f t="shared" si="23"/>
        <v>404.7087275441654</v>
      </c>
      <c r="M40" s="204">
        <f t="shared" si="24"/>
        <v>0</v>
      </c>
      <c r="N40" s="205">
        <f t="shared" si="25"/>
        <v>130</v>
      </c>
      <c r="O40" s="202">
        <f t="shared" si="27"/>
        <v>130</v>
      </c>
      <c r="P40" s="203">
        <f t="shared" si="28"/>
        <v>130</v>
      </c>
      <c r="Q40" s="203">
        <f t="shared" si="29"/>
        <v>130</v>
      </c>
      <c r="R40" s="203">
        <f t="shared" si="30"/>
        <v>130</v>
      </c>
      <c r="S40" s="203">
        <f t="shared" si="31"/>
        <v>130</v>
      </c>
      <c r="T40" s="203">
        <f t="shared" si="32"/>
        <v>683.609375149343</v>
      </c>
      <c r="U40" s="203">
        <f t="shared" si="33"/>
        <v>616.6468252926658</v>
      </c>
      <c r="V40" s="203">
        <f t="shared" si="34"/>
        <v>569.4929718644635</v>
      </c>
      <c r="W40" s="205">
        <f t="shared" si="35"/>
        <v>534.7087275441654</v>
      </c>
      <c r="X40" s="197">
        <f t="shared" si="6"/>
        <v>69.8814058681782</v>
      </c>
      <c r="Y40" s="198">
        <f t="shared" si="7"/>
        <v>69.8814058681782</v>
      </c>
      <c r="Z40" s="198">
        <f t="shared" si="8"/>
        <v>69.8814058681782</v>
      </c>
      <c r="AA40" s="198">
        <f t="shared" si="9"/>
        <v>69.8814058681782</v>
      </c>
      <c r="AB40" s="198">
        <f t="shared" si="10"/>
        <v>69.8814058681782</v>
      </c>
      <c r="AC40" s="198">
        <f t="shared" si="11"/>
        <v>367.4737246161764</v>
      </c>
      <c r="AD40" s="198">
        <f t="shared" si="12"/>
        <v>331.47805442769504</v>
      </c>
      <c r="AE40" s="198">
        <f t="shared" si="13"/>
        <v>306.1305346610428</v>
      </c>
      <c r="AF40" s="206">
        <f t="shared" si="14"/>
        <v>287.4322893136226</v>
      </c>
      <c r="AG40" s="199">
        <f>rated_energyout*((1-'3.Inputs'!$J$17)^C40)</f>
        <v>3285.319111737343</v>
      </c>
      <c r="AH40" s="207">
        <f>AG40/((1+'3.Inputs'!$J$29)^C40)</f>
        <v>1766.0209096446154</v>
      </c>
      <c r="AI40" s="6"/>
      <c r="AN40" s="20"/>
    </row>
    <row r="41" spans="2:40" ht="13.5" customHeight="1">
      <c r="B41" s="24"/>
      <c r="C41" s="201">
        <v>22</v>
      </c>
      <c r="D41" s="202">
        <f t="shared" si="15"/>
        <v>0</v>
      </c>
      <c r="E41" s="203">
        <f t="shared" si="16"/>
        <v>0</v>
      </c>
      <c r="F41" s="203">
        <f t="shared" si="17"/>
        <v>0</v>
      </c>
      <c r="G41" s="203">
        <f t="shared" si="18"/>
        <v>0</v>
      </c>
      <c r="H41" s="203">
        <f t="shared" si="19"/>
        <v>0</v>
      </c>
      <c r="I41" s="203">
        <f t="shared" si="20"/>
        <v>553.609375149343</v>
      </c>
      <c r="J41" s="203">
        <f t="shared" si="21"/>
        <v>486.64682529266577</v>
      </c>
      <c r="K41" s="203">
        <f t="shared" si="22"/>
        <v>439.4929718644634</v>
      </c>
      <c r="L41" s="93">
        <f t="shared" si="23"/>
        <v>404.7087275441654</v>
      </c>
      <c r="M41" s="204">
        <f t="shared" si="24"/>
        <v>0</v>
      </c>
      <c r="N41" s="205">
        <f t="shared" si="25"/>
        <v>130</v>
      </c>
      <c r="O41" s="202">
        <f t="shared" si="27"/>
        <v>130</v>
      </c>
      <c r="P41" s="203">
        <f t="shared" si="28"/>
        <v>130</v>
      </c>
      <c r="Q41" s="203">
        <f t="shared" si="29"/>
        <v>130</v>
      </c>
      <c r="R41" s="203">
        <f t="shared" si="30"/>
        <v>130</v>
      </c>
      <c r="S41" s="203">
        <f t="shared" si="31"/>
        <v>130</v>
      </c>
      <c r="T41" s="203">
        <f t="shared" si="32"/>
        <v>683.609375149343</v>
      </c>
      <c r="U41" s="203">
        <f t="shared" si="33"/>
        <v>616.6468252926658</v>
      </c>
      <c r="V41" s="203">
        <f t="shared" si="34"/>
        <v>569.4929718644635</v>
      </c>
      <c r="W41" s="205">
        <f t="shared" si="35"/>
        <v>534.7087275441654</v>
      </c>
      <c r="X41" s="197">
        <f t="shared" si="6"/>
        <v>67.84602511473612</v>
      </c>
      <c r="Y41" s="198">
        <f t="shared" si="7"/>
        <v>67.84602511473612</v>
      </c>
      <c r="Z41" s="198">
        <f t="shared" si="8"/>
        <v>67.84602511473612</v>
      </c>
      <c r="AA41" s="198">
        <f t="shared" si="9"/>
        <v>67.84602511473612</v>
      </c>
      <c r="AB41" s="198">
        <f t="shared" si="10"/>
        <v>67.84602511473612</v>
      </c>
      <c r="AC41" s="198">
        <f t="shared" si="11"/>
        <v>356.77060642347226</v>
      </c>
      <c r="AD41" s="198">
        <f t="shared" si="12"/>
        <v>321.82335381329614</v>
      </c>
      <c r="AE41" s="198">
        <f t="shared" si="13"/>
        <v>297.21411132140076</v>
      </c>
      <c r="AF41" s="206">
        <f t="shared" si="14"/>
        <v>279.0604750617695</v>
      </c>
      <c r="AG41" s="199">
        <f>rated_energyout*((1-'3.Inputs'!$J$17)^C41)</f>
        <v>3268.8925161786565</v>
      </c>
      <c r="AH41" s="207">
        <f>AG41/((1+'3.Inputs'!$J$29)^C41)</f>
        <v>1706.0104903848467</v>
      </c>
      <c r="AI41" s="6"/>
      <c r="AN41" s="20"/>
    </row>
    <row r="42" spans="2:40" ht="15">
      <c r="B42" s="24"/>
      <c r="C42" s="201">
        <v>23</v>
      </c>
      <c r="D42" s="202">
        <f t="shared" si="15"/>
        <v>0</v>
      </c>
      <c r="E42" s="203">
        <f t="shared" si="16"/>
        <v>0</v>
      </c>
      <c r="F42" s="203">
        <f t="shared" si="17"/>
        <v>0</v>
      </c>
      <c r="G42" s="203">
        <f t="shared" si="18"/>
        <v>0</v>
      </c>
      <c r="H42" s="203">
        <f t="shared" si="19"/>
        <v>0</v>
      </c>
      <c r="I42" s="203">
        <f t="shared" si="20"/>
        <v>553.609375149343</v>
      </c>
      <c r="J42" s="203">
        <f t="shared" si="21"/>
        <v>486.64682529266577</v>
      </c>
      <c r="K42" s="203">
        <f t="shared" si="22"/>
        <v>439.4929718644634</v>
      </c>
      <c r="L42" s="93">
        <f t="shared" si="23"/>
        <v>404.7087275441654</v>
      </c>
      <c r="M42" s="204">
        <f t="shared" si="24"/>
        <v>0</v>
      </c>
      <c r="N42" s="205">
        <f t="shared" si="25"/>
        <v>130</v>
      </c>
      <c r="O42" s="202">
        <f t="shared" si="27"/>
        <v>130</v>
      </c>
      <c r="P42" s="203">
        <f t="shared" si="28"/>
        <v>130</v>
      </c>
      <c r="Q42" s="203">
        <f t="shared" si="29"/>
        <v>130</v>
      </c>
      <c r="R42" s="203">
        <f t="shared" si="30"/>
        <v>130</v>
      </c>
      <c r="S42" s="203">
        <f t="shared" si="31"/>
        <v>130</v>
      </c>
      <c r="T42" s="203">
        <f t="shared" si="32"/>
        <v>683.609375149343</v>
      </c>
      <c r="U42" s="203">
        <f t="shared" si="33"/>
        <v>616.6468252926658</v>
      </c>
      <c r="V42" s="203">
        <f t="shared" si="34"/>
        <v>569.4929718644635</v>
      </c>
      <c r="W42" s="205">
        <f t="shared" si="35"/>
        <v>534.7087275441654</v>
      </c>
      <c r="X42" s="197">
        <f t="shared" si="6"/>
        <v>65.86992729586031</v>
      </c>
      <c r="Y42" s="198">
        <f t="shared" si="7"/>
        <v>65.86992729586031</v>
      </c>
      <c r="Z42" s="198">
        <f t="shared" si="8"/>
        <v>65.86992729586031</v>
      </c>
      <c r="AA42" s="198">
        <f t="shared" si="9"/>
        <v>65.86992729586031</v>
      </c>
      <c r="AB42" s="198">
        <f t="shared" si="10"/>
        <v>65.86992729586031</v>
      </c>
      <c r="AC42" s="198">
        <f t="shared" si="11"/>
        <v>346.37922953735165</v>
      </c>
      <c r="AD42" s="198">
        <f t="shared" si="12"/>
        <v>312.44985807116126</v>
      </c>
      <c r="AE42" s="198">
        <f t="shared" si="13"/>
        <v>288.5573896324279</v>
      </c>
      <c r="AF42" s="206">
        <f t="shared" si="14"/>
        <v>270.9325000599704</v>
      </c>
      <c r="AG42" s="199">
        <f>rated_energyout*((1-'3.Inputs'!$J$17)^C42)</f>
        <v>3252.548053597763</v>
      </c>
      <c r="AH42" s="207">
        <f>AG42/((1+'3.Inputs'!$J$29)^C42)</f>
        <v>1648.0392601290507</v>
      </c>
      <c r="AI42" s="6"/>
      <c r="AN42" s="20"/>
    </row>
    <row r="43" spans="2:40" ht="15">
      <c r="B43" s="24"/>
      <c r="C43" s="201">
        <v>24</v>
      </c>
      <c r="D43" s="202">
        <f t="shared" si="15"/>
        <v>0</v>
      </c>
      <c r="E43" s="203">
        <f t="shared" si="16"/>
        <v>0</v>
      </c>
      <c r="F43" s="203">
        <f t="shared" si="17"/>
        <v>0</v>
      </c>
      <c r="G43" s="203">
        <f t="shared" si="18"/>
        <v>0</v>
      </c>
      <c r="H43" s="203">
        <f t="shared" si="19"/>
        <v>0</v>
      </c>
      <c r="I43" s="203">
        <f t="shared" si="20"/>
        <v>553.609375149343</v>
      </c>
      <c r="J43" s="203">
        <f t="shared" si="21"/>
        <v>486.64682529266577</v>
      </c>
      <c r="K43" s="203">
        <f t="shared" si="22"/>
        <v>439.4929718644634</v>
      </c>
      <c r="L43" s="93">
        <f t="shared" si="23"/>
        <v>404.7087275441654</v>
      </c>
      <c r="M43" s="204">
        <f t="shared" si="24"/>
        <v>0</v>
      </c>
      <c r="N43" s="205">
        <f t="shared" si="25"/>
        <v>130</v>
      </c>
      <c r="O43" s="202">
        <f t="shared" si="27"/>
        <v>130</v>
      </c>
      <c r="P43" s="203">
        <f t="shared" si="28"/>
        <v>130</v>
      </c>
      <c r="Q43" s="203">
        <f t="shared" si="29"/>
        <v>130</v>
      </c>
      <c r="R43" s="203">
        <f t="shared" si="30"/>
        <v>130</v>
      </c>
      <c r="S43" s="203">
        <f t="shared" si="31"/>
        <v>130</v>
      </c>
      <c r="T43" s="203">
        <f t="shared" si="32"/>
        <v>683.609375149343</v>
      </c>
      <c r="U43" s="203">
        <f t="shared" si="33"/>
        <v>616.6468252926658</v>
      </c>
      <c r="V43" s="203">
        <f t="shared" si="34"/>
        <v>569.4929718644635</v>
      </c>
      <c r="W43" s="205">
        <f t="shared" si="35"/>
        <v>534.7087275441654</v>
      </c>
      <c r="X43" s="197">
        <f t="shared" si="6"/>
        <v>63.95138572413623</v>
      </c>
      <c r="Y43" s="198">
        <f t="shared" si="7"/>
        <v>63.95138572413623</v>
      </c>
      <c r="Z43" s="198">
        <f t="shared" si="8"/>
        <v>63.95138572413623</v>
      </c>
      <c r="AA43" s="198">
        <f t="shared" si="9"/>
        <v>63.95138572413623</v>
      </c>
      <c r="AB43" s="198">
        <f t="shared" si="10"/>
        <v>63.95138572413623</v>
      </c>
      <c r="AC43" s="198">
        <f t="shared" si="11"/>
        <v>336.2905141139337</v>
      </c>
      <c r="AD43" s="198">
        <f t="shared" si="12"/>
        <v>303.3493767681178</v>
      </c>
      <c r="AE43" s="198">
        <f t="shared" si="13"/>
        <v>280.15280546837664</v>
      </c>
      <c r="AF43" s="206">
        <f t="shared" si="14"/>
        <v>263.04126219414604</v>
      </c>
      <c r="AG43" s="199">
        <f>rated_energyout*((1-'3.Inputs'!$J$17)^C43)</f>
        <v>3236.2853133297745</v>
      </c>
      <c r="AH43" s="207">
        <f>AG43/((1+'3.Inputs'!$J$29)^C43)</f>
        <v>1592.037926046996</v>
      </c>
      <c r="AI43" s="6"/>
      <c r="AN43" s="20"/>
    </row>
    <row r="44" spans="2:40" ht="15">
      <c r="B44" s="24"/>
      <c r="C44" s="201">
        <v>25</v>
      </c>
      <c r="D44" s="202">
        <f t="shared" si="15"/>
        <v>0</v>
      </c>
      <c r="E44" s="203">
        <f t="shared" si="16"/>
        <v>0</v>
      </c>
      <c r="F44" s="203">
        <f t="shared" si="17"/>
        <v>0</v>
      </c>
      <c r="G44" s="203">
        <f t="shared" si="18"/>
        <v>0</v>
      </c>
      <c r="H44" s="203">
        <f t="shared" si="19"/>
        <v>0</v>
      </c>
      <c r="I44" s="203">
        <f t="shared" si="20"/>
        <v>553.609375149343</v>
      </c>
      <c r="J44" s="203">
        <f t="shared" si="21"/>
        <v>486.64682529266577</v>
      </c>
      <c r="K44" s="203">
        <f t="shared" si="22"/>
        <v>439.4929718644634</v>
      </c>
      <c r="L44" s="93">
        <f t="shared" si="23"/>
        <v>404.7087275441654</v>
      </c>
      <c r="M44" s="204">
        <f t="shared" si="24"/>
        <v>0</v>
      </c>
      <c r="N44" s="205">
        <f t="shared" si="25"/>
        <v>130</v>
      </c>
      <c r="O44" s="202">
        <f t="shared" si="27"/>
        <v>130</v>
      </c>
      <c r="P44" s="203">
        <f t="shared" si="28"/>
        <v>130</v>
      </c>
      <c r="Q44" s="203">
        <f t="shared" si="29"/>
        <v>130</v>
      </c>
      <c r="R44" s="203">
        <f t="shared" si="30"/>
        <v>130</v>
      </c>
      <c r="S44" s="203">
        <f t="shared" si="31"/>
        <v>130</v>
      </c>
      <c r="T44" s="203">
        <f t="shared" si="32"/>
        <v>683.609375149343</v>
      </c>
      <c r="U44" s="203">
        <f t="shared" si="33"/>
        <v>616.6468252926658</v>
      </c>
      <c r="V44" s="203">
        <f t="shared" si="34"/>
        <v>569.4929718644635</v>
      </c>
      <c r="W44" s="205">
        <f t="shared" si="35"/>
        <v>534.7087275441654</v>
      </c>
      <c r="X44" s="197">
        <f t="shared" si="6"/>
        <v>62.08872400401576</v>
      </c>
      <c r="Y44" s="198">
        <f t="shared" si="7"/>
        <v>62.08872400401576</v>
      </c>
      <c r="Z44" s="198">
        <f t="shared" si="8"/>
        <v>62.08872400401576</v>
      </c>
      <c r="AA44" s="198">
        <f t="shared" si="9"/>
        <v>62.08872400401576</v>
      </c>
      <c r="AB44" s="198">
        <f t="shared" si="10"/>
        <v>62.08872400401576</v>
      </c>
      <c r="AC44" s="198">
        <f t="shared" si="11"/>
        <v>326.4956447708094</v>
      </c>
      <c r="AD44" s="198">
        <f t="shared" si="12"/>
        <v>294.5139580272988</v>
      </c>
      <c r="AE44" s="198">
        <f t="shared" si="13"/>
        <v>271.9930150178414</v>
      </c>
      <c r="AF44" s="206">
        <f t="shared" si="14"/>
        <v>255.3798662079088</v>
      </c>
      <c r="AG44" s="199">
        <f>rated_energyout*((1-'3.Inputs'!$J$17)^C44)</f>
        <v>3220.1038867631255</v>
      </c>
      <c r="AH44" s="207">
        <f>AG44/((1+'3.Inputs'!$J$29)^C44)</f>
        <v>1537.9395499191855</v>
      </c>
      <c r="AI44" s="6"/>
      <c r="AN44" s="20"/>
    </row>
    <row r="45" spans="2:40" ht="15">
      <c r="B45" s="24"/>
      <c r="C45" s="201">
        <v>26</v>
      </c>
      <c r="D45" s="202">
        <f t="shared" si="15"/>
        <v>0</v>
      </c>
      <c r="E45" s="203">
        <f t="shared" si="16"/>
        <v>0</v>
      </c>
      <c r="F45" s="203">
        <f t="shared" si="17"/>
        <v>0</v>
      </c>
      <c r="G45" s="203">
        <f t="shared" si="18"/>
        <v>0</v>
      </c>
      <c r="H45" s="203">
        <f t="shared" si="19"/>
        <v>0</v>
      </c>
      <c r="I45" s="203">
        <f t="shared" si="20"/>
        <v>0</v>
      </c>
      <c r="J45" s="203">
        <f t="shared" si="21"/>
        <v>486.64682529266577</v>
      </c>
      <c r="K45" s="203">
        <f t="shared" si="22"/>
        <v>439.4929718644634</v>
      </c>
      <c r="L45" s="93">
        <f t="shared" si="23"/>
        <v>404.7087275441654</v>
      </c>
      <c r="M45" s="204">
        <f t="shared" si="24"/>
        <v>0</v>
      </c>
      <c r="N45" s="205">
        <f t="shared" si="25"/>
        <v>130</v>
      </c>
      <c r="O45" s="202">
        <f t="shared" si="27"/>
        <v>130</v>
      </c>
      <c r="P45" s="203">
        <f t="shared" si="28"/>
        <v>130</v>
      </c>
      <c r="Q45" s="203">
        <f t="shared" si="29"/>
        <v>130</v>
      </c>
      <c r="R45" s="203">
        <f t="shared" si="30"/>
        <v>130</v>
      </c>
      <c r="S45" s="203">
        <f t="shared" si="31"/>
        <v>130</v>
      </c>
      <c r="T45" s="203">
        <f t="shared" si="32"/>
        <v>130</v>
      </c>
      <c r="U45" s="203">
        <f t="shared" si="33"/>
        <v>616.6468252926658</v>
      </c>
      <c r="V45" s="203">
        <f t="shared" si="34"/>
        <v>569.4929718644635</v>
      </c>
      <c r="W45" s="205">
        <f t="shared" si="35"/>
        <v>534.7087275441654</v>
      </c>
      <c r="X45" s="197">
        <f t="shared" si="6"/>
        <v>60.28031456700558</v>
      </c>
      <c r="Y45" s="198">
        <f t="shared" si="7"/>
        <v>60.28031456700558</v>
      </c>
      <c r="Z45" s="198">
        <f t="shared" si="8"/>
        <v>60.28031456700558</v>
      </c>
      <c r="AA45" s="198">
        <f t="shared" si="9"/>
        <v>60.28031456700558</v>
      </c>
      <c r="AB45" s="198">
        <f t="shared" si="10"/>
        <v>60.28031456700558</v>
      </c>
      <c r="AC45" s="198">
        <f t="shared" si="11"/>
        <v>60.28031456700558</v>
      </c>
      <c r="AD45" s="198">
        <f t="shared" si="12"/>
        <v>285.9358815799017</v>
      </c>
      <c r="AE45" s="198">
        <f t="shared" si="13"/>
        <v>264.0708883668363</v>
      </c>
      <c r="AF45" s="206">
        <f t="shared" si="14"/>
        <v>247.94161767758132</v>
      </c>
      <c r="AG45" s="199">
        <f>rated_energyout*((1-'3.Inputs'!$J$17)^C45)</f>
        <v>3204.00336732931</v>
      </c>
      <c r="AH45" s="207">
        <f>AG45/((1+'3.Inputs'!$J$29)^C45)</f>
        <v>1485.679468125815</v>
      </c>
      <c r="AI45" s="6"/>
      <c r="AN45" s="20"/>
    </row>
    <row r="46" spans="2:40" ht="15">
      <c r="B46" s="24"/>
      <c r="C46" s="201">
        <v>27</v>
      </c>
      <c r="D46" s="202">
        <f t="shared" si="15"/>
        <v>0</v>
      </c>
      <c r="E46" s="203">
        <f t="shared" si="16"/>
        <v>0</v>
      </c>
      <c r="F46" s="203">
        <f t="shared" si="17"/>
        <v>0</v>
      </c>
      <c r="G46" s="203">
        <f t="shared" si="18"/>
        <v>0</v>
      </c>
      <c r="H46" s="203">
        <f t="shared" si="19"/>
        <v>0</v>
      </c>
      <c r="I46" s="203">
        <f t="shared" si="20"/>
        <v>0</v>
      </c>
      <c r="J46" s="203">
        <f t="shared" si="21"/>
        <v>486.64682529266577</v>
      </c>
      <c r="K46" s="203">
        <f t="shared" si="22"/>
        <v>439.4929718644634</v>
      </c>
      <c r="L46" s="93">
        <f t="shared" si="23"/>
        <v>404.7087275441654</v>
      </c>
      <c r="M46" s="204">
        <f t="shared" si="24"/>
        <v>0</v>
      </c>
      <c r="N46" s="205">
        <f t="shared" si="25"/>
        <v>130</v>
      </c>
      <c r="O46" s="202">
        <f t="shared" si="27"/>
        <v>130</v>
      </c>
      <c r="P46" s="203">
        <f t="shared" si="28"/>
        <v>130</v>
      </c>
      <c r="Q46" s="203">
        <f t="shared" si="29"/>
        <v>130</v>
      </c>
      <c r="R46" s="203">
        <f t="shared" si="30"/>
        <v>130</v>
      </c>
      <c r="S46" s="203">
        <f t="shared" si="31"/>
        <v>130</v>
      </c>
      <c r="T46" s="203">
        <f t="shared" si="32"/>
        <v>130</v>
      </c>
      <c r="U46" s="203">
        <f t="shared" si="33"/>
        <v>616.6468252926658</v>
      </c>
      <c r="V46" s="203">
        <f t="shared" si="34"/>
        <v>569.4929718644635</v>
      </c>
      <c r="W46" s="205">
        <f t="shared" si="35"/>
        <v>534.7087275441654</v>
      </c>
      <c r="X46" s="197">
        <f t="shared" si="6"/>
        <v>58.524577249519986</v>
      </c>
      <c r="Y46" s="198">
        <f t="shared" si="7"/>
        <v>58.524577249519986</v>
      </c>
      <c r="Z46" s="198">
        <f t="shared" si="8"/>
        <v>58.524577249519986</v>
      </c>
      <c r="AA46" s="198">
        <f t="shared" si="9"/>
        <v>58.524577249519986</v>
      </c>
      <c r="AB46" s="198">
        <f t="shared" si="10"/>
        <v>58.524577249519986</v>
      </c>
      <c r="AC46" s="198">
        <f t="shared" si="11"/>
        <v>58.524577249519986</v>
      </c>
      <c r="AD46" s="198">
        <f t="shared" si="12"/>
        <v>277.6076520193221</v>
      </c>
      <c r="AE46" s="198">
        <f t="shared" si="13"/>
        <v>256.37950326877314</v>
      </c>
      <c r="AF46" s="206">
        <f t="shared" si="14"/>
        <v>240.72001716270034</v>
      </c>
      <c r="AG46" s="199">
        <f>rated_energyout*((1-'3.Inputs'!$J$17)^C46)</f>
        <v>3187.9833504926632</v>
      </c>
      <c r="AH46" s="207">
        <f>AG46/((1+'3.Inputs'!$J$29)^C46)</f>
        <v>1435.1952143545493</v>
      </c>
      <c r="AI46" s="6"/>
      <c r="AN46" s="20"/>
    </row>
    <row r="47" spans="2:40" ht="15">
      <c r="B47" s="24"/>
      <c r="C47" s="201">
        <v>28</v>
      </c>
      <c r="D47" s="202">
        <f t="shared" si="15"/>
        <v>0</v>
      </c>
      <c r="E47" s="203">
        <f t="shared" si="16"/>
        <v>0</v>
      </c>
      <c r="F47" s="203">
        <f t="shared" si="17"/>
        <v>0</v>
      </c>
      <c r="G47" s="203">
        <f t="shared" si="18"/>
        <v>0</v>
      </c>
      <c r="H47" s="203">
        <f t="shared" si="19"/>
        <v>0</v>
      </c>
      <c r="I47" s="203">
        <f t="shared" si="20"/>
        <v>0</v>
      </c>
      <c r="J47" s="203">
        <f t="shared" si="21"/>
        <v>486.64682529266577</v>
      </c>
      <c r="K47" s="203">
        <f t="shared" si="22"/>
        <v>439.4929718644634</v>
      </c>
      <c r="L47" s="93">
        <f t="shared" si="23"/>
        <v>404.7087275441654</v>
      </c>
      <c r="M47" s="204">
        <f t="shared" si="24"/>
        <v>0</v>
      </c>
      <c r="N47" s="205">
        <f t="shared" si="25"/>
        <v>130</v>
      </c>
      <c r="O47" s="202">
        <f t="shared" si="27"/>
        <v>130</v>
      </c>
      <c r="P47" s="203">
        <f t="shared" si="28"/>
        <v>130</v>
      </c>
      <c r="Q47" s="203">
        <f t="shared" si="29"/>
        <v>130</v>
      </c>
      <c r="R47" s="203">
        <f t="shared" si="30"/>
        <v>130</v>
      </c>
      <c r="S47" s="203">
        <f t="shared" si="31"/>
        <v>130</v>
      </c>
      <c r="T47" s="203">
        <f t="shared" si="32"/>
        <v>130</v>
      </c>
      <c r="U47" s="203">
        <f t="shared" si="33"/>
        <v>616.6468252926658</v>
      </c>
      <c r="V47" s="203">
        <f t="shared" si="34"/>
        <v>569.4929718644635</v>
      </c>
      <c r="W47" s="205">
        <f t="shared" si="35"/>
        <v>534.7087275441654</v>
      </c>
      <c r="X47" s="197">
        <f t="shared" si="6"/>
        <v>56.81997791215533</v>
      </c>
      <c r="Y47" s="198">
        <f t="shared" si="7"/>
        <v>56.81997791215533</v>
      </c>
      <c r="Z47" s="198">
        <f t="shared" si="8"/>
        <v>56.81997791215533</v>
      </c>
      <c r="AA47" s="198">
        <f t="shared" si="9"/>
        <v>56.81997791215533</v>
      </c>
      <c r="AB47" s="198">
        <f t="shared" si="10"/>
        <v>56.81997791215533</v>
      </c>
      <c r="AC47" s="198">
        <f t="shared" si="11"/>
        <v>56.81997791215533</v>
      </c>
      <c r="AD47" s="198">
        <f t="shared" si="12"/>
        <v>269.521992251769</v>
      </c>
      <c r="AE47" s="198">
        <f t="shared" si="13"/>
        <v>248.91213909589624</v>
      </c>
      <c r="AF47" s="206">
        <f t="shared" si="14"/>
        <v>233.70875452689353</v>
      </c>
      <c r="AG47" s="199">
        <f>rated_energyout*((1-'3.Inputs'!$J$17)^C47)</f>
        <v>3172.0434337402003</v>
      </c>
      <c r="AH47" s="207">
        <f>AG47/((1+'3.Inputs'!$J$29)^C47)</f>
        <v>1386.4264449347347</v>
      </c>
      <c r="AI47" s="6"/>
      <c r="AN47" s="20"/>
    </row>
    <row r="48" spans="2:40" ht="15">
      <c r="B48" s="24"/>
      <c r="C48" s="201">
        <v>29</v>
      </c>
      <c r="D48" s="202">
        <f t="shared" si="15"/>
        <v>0</v>
      </c>
      <c r="E48" s="203">
        <f t="shared" si="16"/>
        <v>0</v>
      </c>
      <c r="F48" s="203">
        <f t="shared" si="17"/>
        <v>0</v>
      </c>
      <c r="G48" s="203">
        <f t="shared" si="18"/>
        <v>0</v>
      </c>
      <c r="H48" s="203">
        <f t="shared" si="19"/>
        <v>0</v>
      </c>
      <c r="I48" s="203">
        <f t="shared" si="20"/>
        <v>0</v>
      </c>
      <c r="J48" s="203">
        <f t="shared" si="21"/>
        <v>486.64682529266577</v>
      </c>
      <c r="K48" s="203">
        <f t="shared" si="22"/>
        <v>439.4929718644634</v>
      </c>
      <c r="L48" s="93">
        <f t="shared" si="23"/>
        <v>404.7087275441654</v>
      </c>
      <c r="M48" s="204">
        <f t="shared" si="24"/>
        <v>0</v>
      </c>
      <c r="N48" s="205">
        <f t="shared" si="25"/>
        <v>130</v>
      </c>
      <c r="O48" s="202">
        <f t="shared" si="27"/>
        <v>130</v>
      </c>
      <c r="P48" s="203">
        <f t="shared" si="28"/>
        <v>130</v>
      </c>
      <c r="Q48" s="203">
        <f t="shared" si="29"/>
        <v>130</v>
      </c>
      <c r="R48" s="203">
        <f t="shared" si="30"/>
        <v>130</v>
      </c>
      <c r="S48" s="203">
        <f t="shared" si="31"/>
        <v>130</v>
      </c>
      <c r="T48" s="203">
        <f t="shared" si="32"/>
        <v>130</v>
      </c>
      <c r="U48" s="203">
        <f t="shared" si="33"/>
        <v>616.6468252926658</v>
      </c>
      <c r="V48" s="203">
        <f t="shared" si="34"/>
        <v>569.4929718644635</v>
      </c>
      <c r="W48" s="205">
        <f t="shared" si="35"/>
        <v>534.7087275441654</v>
      </c>
      <c r="X48" s="197">
        <f t="shared" si="6"/>
        <v>55.16502709917994</v>
      </c>
      <c r="Y48" s="198">
        <f t="shared" si="7"/>
        <v>55.16502709917994</v>
      </c>
      <c r="Z48" s="198">
        <f t="shared" si="8"/>
        <v>55.16502709917994</v>
      </c>
      <c r="AA48" s="198">
        <f t="shared" si="9"/>
        <v>55.16502709917994</v>
      </c>
      <c r="AB48" s="198">
        <f t="shared" si="10"/>
        <v>55.16502709917994</v>
      </c>
      <c r="AC48" s="198">
        <f t="shared" si="11"/>
        <v>55.16502709917994</v>
      </c>
      <c r="AD48" s="198">
        <f t="shared" si="12"/>
        <v>261.67183713763984</v>
      </c>
      <c r="AE48" s="198">
        <f t="shared" si="13"/>
        <v>241.66227096688957</v>
      </c>
      <c r="AF48" s="206">
        <f t="shared" si="14"/>
        <v>226.90170342416852</v>
      </c>
      <c r="AG48" s="199">
        <f>rated_energyout*((1-'3.Inputs'!$J$17)^C48)</f>
        <v>3156.1832165714995</v>
      </c>
      <c r="AH48" s="207">
        <f>AG48/((1+'3.Inputs'!$J$29)^C48)</f>
        <v>1339.3148667087974</v>
      </c>
      <c r="AI48" s="6"/>
      <c r="AN48" s="20"/>
    </row>
    <row r="49" spans="2:40" ht="15">
      <c r="B49" s="24"/>
      <c r="C49" s="201">
        <v>30</v>
      </c>
      <c r="D49" s="202">
        <f t="shared" si="15"/>
        <v>0</v>
      </c>
      <c r="E49" s="203">
        <f t="shared" si="16"/>
        <v>0</v>
      </c>
      <c r="F49" s="203">
        <f t="shared" si="17"/>
        <v>0</v>
      </c>
      <c r="G49" s="203">
        <f t="shared" si="18"/>
        <v>0</v>
      </c>
      <c r="H49" s="203">
        <f t="shared" si="19"/>
        <v>0</v>
      </c>
      <c r="I49" s="203">
        <f t="shared" si="20"/>
        <v>0</v>
      </c>
      <c r="J49" s="203">
        <f t="shared" si="21"/>
        <v>486.64682529266577</v>
      </c>
      <c r="K49" s="203">
        <f t="shared" si="22"/>
        <v>439.4929718644634</v>
      </c>
      <c r="L49" s="93">
        <f t="shared" si="23"/>
        <v>404.7087275441654</v>
      </c>
      <c r="M49" s="204">
        <f t="shared" si="24"/>
        <v>1170</v>
      </c>
      <c r="N49" s="205">
        <f t="shared" si="25"/>
        <v>130</v>
      </c>
      <c r="O49" s="202">
        <f t="shared" si="27"/>
        <v>1300</v>
      </c>
      <c r="P49" s="203">
        <f t="shared" si="28"/>
        <v>1300</v>
      </c>
      <c r="Q49" s="203">
        <f t="shared" si="29"/>
        <v>1300</v>
      </c>
      <c r="R49" s="203">
        <f t="shared" si="30"/>
        <v>1300</v>
      </c>
      <c r="S49" s="203">
        <f t="shared" si="31"/>
        <v>1300</v>
      </c>
      <c r="T49" s="203">
        <f t="shared" si="32"/>
        <v>1300</v>
      </c>
      <c r="U49" s="203">
        <f t="shared" si="33"/>
        <v>1786.6468252926657</v>
      </c>
      <c r="V49" s="203">
        <f t="shared" si="34"/>
        <v>1739.4929718644635</v>
      </c>
      <c r="W49" s="205">
        <f t="shared" si="35"/>
        <v>1704.7087275441654</v>
      </c>
      <c r="X49" s="197">
        <f t="shared" si="6"/>
        <v>535.582787370679</v>
      </c>
      <c r="Y49" s="198">
        <f t="shared" si="7"/>
        <v>535.582787370679</v>
      </c>
      <c r="Z49" s="198">
        <f t="shared" si="8"/>
        <v>535.582787370679</v>
      </c>
      <c r="AA49" s="198">
        <f t="shared" si="9"/>
        <v>535.582787370679</v>
      </c>
      <c r="AB49" s="198">
        <f t="shared" si="10"/>
        <v>535.582787370679</v>
      </c>
      <c r="AC49" s="198">
        <f t="shared" si="11"/>
        <v>535.582787370679</v>
      </c>
      <c r="AD49" s="198">
        <f t="shared" si="12"/>
        <v>736.074835951708</v>
      </c>
      <c r="AE49" s="198">
        <f t="shared" si="13"/>
        <v>716.6480726791349</v>
      </c>
      <c r="AF49" s="206">
        <f t="shared" si="14"/>
        <v>702.3174245794057</v>
      </c>
      <c r="AG49" s="199">
        <f>rated_energyout*((1-'3.Inputs'!$J$17)^C49)</f>
        <v>3140.4023004886417</v>
      </c>
      <c r="AH49" s="207">
        <f>AG49/((1+'3.Inputs'!$J$29)^C49)</f>
        <v>1293.804167354615</v>
      </c>
      <c r="AI49" s="6"/>
      <c r="AN49" s="20"/>
    </row>
    <row r="50" spans="2:40" ht="15">
      <c r="B50" s="24"/>
      <c r="C50" s="201">
        <v>31</v>
      </c>
      <c r="D50" s="202">
        <f t="shared" si="15"/>
        <v>0</v>
      </c>
      <c r="E50" s="203">
        <f t="shared" si="16"/>
        <v>0</v>
      </c>
      <c r="F50" s="203">
        <f t="shared" si="17"/>
        <v>0</v>
      </c>
      <c r="G50" s="203">
        <f t="shared" si="18"/>
        <v>0</v>
      </c>
      <c r="H50" s="203">
        <f t="shared" si="19"/>
        <v>0</v>
      </c>
      <c r="I50" s="203">
        <f t="shared" si="20"/>
        <v>0</v>
      </c>
      <c r="J50" s="203">
        <f t="shared" si="21"/>
        <v>0</v>
      </c>
      <c r="K50" s="203">
        <f t="shared" si="22"/>
        <v>439.4929718644634</v>
      </c>
      <c r="L50" s="93">
        <f t="shared" si="23"/>
        <v>404.7087275441654</v>
      </c>
      <c r="M50" s="204">
        <f t="shared" si="24"/>
        <v>0</v>
      </c>
      <c r="N50" s="205">
        <f t="shared" si="25"/>
        <v>130</v>
      </c>
      <c r="O50" s="202">
        <f t="shared" si="27"/>
        <v>130</v>
      </c>
      <c r="P50" s="203">
        <f t="shared" si="28"/>
        <v>130</v>
      </c>
      <c r="Q50" s="203">
        <f t="shared" si="29"/>
        <v>130</v>
      </c>
      <c r="R50" s="203">
        <f t="shared" si="30"/>
        <v>130</v>
      </c>
      <c r="S50" s="203">
        <f t="shared" si="31"/>
        <v>130</v>
      </c>
      <c r="T50" s="203">
        <f t="shared" si="32"/>
        <v>130</v>
      </c>
      <c r="U50" s="203">
        <f t="shared" si="33"/>
        <v>130</v>
      </c>
      <c r="V50" s="203">
        <f t="shared" si="34"/>
        <v>569.4929718644635</v>
      </c>
      <c r="W50" s="205">
        <f t="shared" si="35"/>
        <v>534.7087275441654</v>
      </c>
      <c r="X50" s="197">
        <f t="shared" si="6"/>
        <v>51.9983288709397</v>
      </c>
      <c r="Y50" s="198">
        <f t="shared" si="7"/>
        <v>51.9983288709397</v>
      </c>
      <c r="Z50" s="198">
        <f t="shared" si="8"/>
        <v>51.9983288709397</v>
      </c>
      <c r="AA50" s="198">
        <f t="shared" si="9"/>
        <v>51.9983288709397</v>
      </c>
      <c r="AB50" s="198">
        <f t="shared" si="10"/>
        <v>51.9983288709397</v>
      </c>
      <c r="AC50" s="198">
        <f t="shared" si="11"/>
        <v>51.9983288709397</v>
      </c>
      <c r="AD50" s="198">
        <f t="shared" si="12"/>
        <v>51.9983288709397</v>
      </c>
      <c r="AE50" s="198">
        <f t="shared" si="13"/>
        <v>227.78986800536293</v>
      </c>
      <c r="AF50" s="206">
        <f t="shared" si="14"/>
        <v>213.87661742310158</v>
      </c>
      <c r="AG50" s="199">
        <f>rated_energyout*((1-'3.Inputs'!$J$17)^C50)</f>
        <v>3124.7002889861988</v>
      </c>
      <c r="AH50" s="207">
        <f>AG50/((1+'3.Inputs'!$J$29)^C50)</f>
        <v>1249.8399480755745</v>
      </c>
      <c r="AI50" s="6"/>
      <c r="AN50" s="20"/>
    </row>
    <row r="51" spans="2:40" ht="12.75" customHeight="1">
      <c r="B51" s="24"/>
      <c r="C51" s="201">
        <v>32</v>
      </c>
      <c r="D51" s="202">
        <f t="shared" si="15"/>
        <v>0</v>
      </c>
      <c r="E51" s="203">
        <f t="shared" si="16"/>
        <v>0</v>
      </c>
      <c r="F51" s="203">
        <f t="shared" si="17"/>
        <v>0</v>
      </c>
      <c r="G51" s="203">
        <f t="shared" si="18"/>
        <v>0</v>
      </c>
      <c r="H51" s="203">
        <f t="shared" si="19"/>
        <v>0</v>
      </c>
      <c r="I51" s="203">
        <f t="shared" si="20"/>
        <v>0</v>
      </c>
      <c r="J51" s="203">
        <f t="shared" si="21"/>
        <v>0</v>
      </c>
      <c r="K51" s="203">
        <f t="shared" si="22"/>
        <v>439.4929718644634</v>
      </c>
      <c r="L51" s="93">
        <f t="shared" si="23"/>
        <v>404.7087275441654</v>
      </c>
      <c r="M51" s="204">
        <f t="shared" si="24"/>
        <v>0</v>
      </c>
      <c r="N51" s="205">
        <f t="shared" si="25"/>
        <v>130</v>
      </c>
      <c r="O51" s="202">
        <f t="shared" si="27"/>
        <v>130</v>
      </c>
      <c r="P51" s="203">
        <f t="shared" si="28"/>
        <v>130</v>
      </c>
      <c r="Q51" s="203">
        <f t="shared" si="29"/>
        <v>130</v>
      </c>
      <c r="R51" s="203">
        <f t="shared" si="30"/>
        <v>130</v>
      </c>
      <c r="S51" s="203">
        <f t="shared" si="31"/>
        <v>130</v>
      </c>
      <c r="T51" s="203">
        <f t="shared" si="32"/>
        <v>130</v>
      </c>
      <c r="U51" s="203">
        <f t="shared" si="33"/>
        <v>130</v>
      </c>
      <c r="V51" s="203">
        <f t="shared" si="34"/>
        <v>569.4929718644635</v>
      </c>
      <c r="W51" s="205">
        <f t="shared" si="35"/>
        <v>534.7087275441654</v>
      </c>
      <c r="X51" s="197">
        <f t="shared" si="6"/>
        <v>50.48381443780554</v>
      </c>
      <c r="Y51" s="198">
        <f t="shared" si="7"/>
        <v>50.48381443780554</v>
      </c>
      <c r="Z51" s="198">
        <f t="shared" si="8"/>
        <v>50.48381443780554</v>
      </c>
      <c r="AA51" s="198">
        <f t="shared" si="9"/>
        <v>50.48381443780554</v>
      </c>
      <c r="AB51" s="198">
        <f t="shared" si="10"/>
        <v>50.48381443780554</v>
      </c>
      <c r="AC51" s="198">
        <f t="shared" si="11"/>
        <v>50.48381443780554</v>
      </c>
      <c r="AD51" s="198">
        <f t="shared" si="12"/>
        <v>50.48381443780554</v>
      </c>
      <c r="AE51" s="198">
        <f t="shared" si="13"/>
        <v>221.1552116556922</v>
      </c>
      <c r="AF51" s="206">
        <f t="shared" si="14"/>
        <v>207.64720138165205</v>
      </c>
      <c r="AG51" s="199">
        <f>rated_energyout*((1-'3.Inputs'!$J$17)^C51)</f>
        <v>3109.0767875412675</v>
      </c>
      <c r="AH51" s="207">
        <f>AG51/((1+'3.Inputs'!$J$29)^C51)</f>
        <v>1207.369658577861</v>
      </c>
      <c r="AI51" s="6"/>
      <c r="AN51" s="20"/>
    </row>
    <row r="52" spans="2:40" ht="15">
      <c r="B52" s="24"/>
      <c r="C52" s="201">
        <v>33</v>
      </c>
      <c r="D52" s="202">
        <f t="shared" si="15"/>
        <v>0</v>
      </c>
      <c r="E52" s="203">
        <f t="shared" si="16"/>
        <v>0</v>
      </c>
      <c r="F52" s="203">
        <f t="shared" si="17"/>
        <v>0</v>
      </c>
      <c r="G52" s="203">
        <f t="shared" si="18"/>
        <v>0</v>
      </c>
      <c r="H52" s="203">
        <f t="shared" si="19"/>
        <v>0</v>
      </c>
      <c r="I52" s="203">
        <f t="shared" si="20"/>
        <v>0</v>
      </c>
      <c r="J52" s="203">
        <f t="shared" si="21"/>
        <v>0</v>
      </c>
      <c r="K52" s="203">
        <f t="shared" si="22"/>
        <v>439.4929718644634</v>
      </c>
      <c r="L52" s="93">
        <f t="shared" si="23"/>
        <v>404.7087275441654</v>
      </c>
      <c r="M52" s="204">
        <f t="shared" si="24"/>
        <v>0</v>
      </c>
      <c r="N52" s="205">
        <f t="shared" si="25"/>
        <v>130</v>
      </c>
      <c r="O52" s="202">
        <f t="shared" si="27"/>
        <v>130</v>
      </c>
      <c r="P52" s="203">
        <f t="shared" si="28"/>
        <v>130</v>
      </c>
      <c r="Q52" s="203">
        <f t="shared" si="29"/>
        <v>130</v>
      </c>
      <c r="R52" s="203">
        <f t="shared" si="30"/>
        <v>130</v>
      </c>
      <c r="S52" s="203">
        <f t="shared" si="31"/>
        <v>130</v>
      </c>
      <c r="T52" s="203">
        <f t="shared" si="32"/>
        <v>130</v>
      </c>
      <c r="U52" s="203">
        <f t="shared" si="33"/>
        <v>130</v>
      </c>
      <c r="V52" s="203">
        <f t="shared" si="34"/>
        <v>569.4929718644635</v>
      </c>
      <c r="W52" s="205">
        <f t="shared" si="35"/>
        <v>534.7087275441654</v>
      </c>
      <c r="X52" s="197">
        <f t="shared" si="6"/>
        <v>49.01341207553936</v>
      </c>
      <c r="Y52" s="198">
        <f t="shared" si="7"/>
        <v>49.01341207553936</v>
      </c>
      <c r="Z52" s="198">
        <f t="shared" si="8"/>
        <v>49.01341207553936</v>
      </c>
      <c r="AA52" s="198">
        <f t="shared" si="9"/>
        <v>49.01341207553936</v>
      </c>
      <c r="AB52" s="198">
        <f t="shared" si="10"/>
        <v>49.01341207553936</v>
      </c>
      <c r="AC52" s="198">
        <f t="shared" si="11"/>
        <v>49.01341207553936</v>
      </c>
      <c r="AD52" s="198">
        <f t="shared" si="12"/>
        <v>49.01341207553936</v>
      </c>
      <c r="AE52" s="198">
        <f t="shared" si="13"/>
        <v>214.71379772397302</v>
      </c>
      <c r="AF52" s="206">
        <f t="shared" si="14"/>
        <v>201.59922464238062</v>
      </c>
      <c r="AG52" s="199">
        <f>rated_energyout*((1-'3.Inputs'!$J$17)^C52)</f>
        <v>3093.531403603561</v>
      </c>
      <c r="AH52" s="207">
        <f>AG52/((1+'3.Inputs'!$J$29)^C52)</f>
        <v>1166.3425342572539</v>
      </c>
      <c r="AI52" s="6"/>
      <c r="AN52" s="20"/>
    </row>
    <row r="53" spans="2:40" ht="15">
      <c r="B53" s="24"/>
      <c r="C53" s="201">
        <v>34</v>
      </c>
      <c r="D53" s="202">
        <f t="shared" si="15"/>
        <v>0</v>
      </c>
      <c r="E53" s="203">
        <f t="shared" si="16"/>
        <v>0</v>
      </c>
      <c r="F53" s="203">
        <f t="shared" si="17"/>
        <v>0</v>
      </c>
      <c r="G53" s="203">
        <f t="shared" si="18"/>
        <v>0</v>
      </c>
      <c r="H53" s="203">
        <f t="shared" si="19"/>
        <v>0</v>
      </c>
      <c r="I53" s="203">
        <f t="shared" si="20"/>
        <v>0</v>
      </c>
      <c r="J53" s="203">
        <f t="shared" si="21"/>
        <v>0</v>
      </c>
      <c r="K53" s="203">
        <f t="shared" si="22"/>
        <v>439.4929718644634</v>
      </c>
      <c r="L53" s="93">
        <f t="shared" si="23"/>
        <v>404.7087275441654</v>
      </c>
      <c r="M53" s="204">
        <f t="shared" si="24"/>
        <v>0</v>
      </c>
      <c r="N53" s="205">
        <f t="shared" si="25"/>
        <v>130</v>
      </c>
      <c r="O53" s="202">
        <f t="shared" si="27"/>
        <v>130</v>
      </c>
      <c r="P53" s="203">
        <f t="shared" si="28"/>
        <v>130</v>
      </c>
      <c r="Q53" s="203">
        <f t="shared" si="29"/>
        <v>130</v>
      </c>
      <c r="R53" s="203">
        <f t="shared" si="30"/>
        <v>130</v>
      </c>
      <c r="S53" s="203">
        <f t="shared" si="31"/>
        <v>130</v>
      </c>
      <c r="T53" s="203">
        <f t="shared" si="32"/>
        <v>130</v>
      </c>
      <c r="U53" s="203">
        <f t="shared" si="33"/>
        <v>130</v>
      </c>
      <c r="V53" s="203">
        <f t="shared" si="34"/>
        <v>569.4929718644635</v>
      </c>
      <c r="W53" s="205">
        <f t="shared" si="35"/>
        <v>534.7087275441654</v>
      </c>
      <c r="X53" s="197">
        <f t="shared" si="6"/>
        <v>47.58583696654308</v>
      </c>
      <c r="Y53" s="198">
        <f t="shared" si="7"/>
        <v>47.58583696654308</v>
      </c>
      <c r="Z53" s="198">
        <f t="shared" si="8"/>
        <v>47.58583696654308</v>
      </c>
      <c r="AA53" s="198">
        <f t="shared" si="9"/>
        <v>47.58583696654308</v>
      </c>
      <c r="AB53" s="198">
        <f t="shared" si="10"/>
        <v>47.58583696654308</v>
      </c>
      <c r="AC53" s="198">
        <f t="shared" si="11"/>
        <v>47.58583696654308</v>
      </c>
      <c r="AD53" s="198">
        <f t="shared" si="12"/>
        <v>47.58583696654308</v>
      </c>
      <c r="AE53" s="198">
        <f t="shared" si="13"/>
        <v>208.45999779026508</v>
      </c>
      <c r="AF53" s="206">
        <f t="shared" si="14"/>
        <v>195.72740256541812</v>
      </c>
      <c r="AG53" s="199">
        <f>rated_energyout*((1-'3.Inputs'!$J$17)^C53)</f>
        <v>3078.0637465855434</v>
      </c>
      <c r="AH53" s="207">
        <f>AG53/((1+'3.Inputs'!$J$29)^C53)</f>
        <v>1126.7095355203571</v>
      </c>
      <c r="AI53" s="6"/>
      <c r="AN53" s="20"/>
    </row>
    <row r="54" spans="2:40" ht="15">
      <c r="B54" s="24"/>
      <c r="C54" s="201">
        <v>35</v>
      </c>
      <c r="D54" s="202">
        <f t="shared" si="15"/>
        <v>0</v>
      </c>
      <c r="E54" s="203">
        <f t="shared" si="16"/>
        <v>0</v>
      </c>
      <c r="F54" s="203">
        <f t="shared" si="17"/>
        <v>0</v>
      </c>
      <c r="G54" s="203">
        <f t="shared" si="18"/>
        <v>0</v>
      </c>
      <c r="H54" s="203">
        <f t="shared" si="19"/>
        <v>0</v>
      </c>
      <c r="I54" s="203">
        <f t="shared" si="20"/>
        <v>0</v>
      </c>
      <c r="J54" s="203">
        <f t="shared" si="21"/>
        <v>0</v>
      </c>
      <c r="K54" s="203">
        <f t="shared" si="22"/>
        <v>439.4929718644634</v>
      </c>
      <c r="L54" s="93">
        <f t="shared" si="23"/>
        <v>404.7087275441654</v>
      </c>
      <c r="M54" s="204">
        <f t="shared" si="24"/>
        <v>0</v>
      </c>
      <c r="N54" s="205">
        <f t="shared" si="25"/>
        <v>130</v>
      </c>
      <c r="O54" s="202">
        <f t="shared" si="27"/>
        <v>130</v>
      </c>
      <c r="P54" s="203">
        <f t="shared" si="28"/>
        <v>130</v>
      </c>
      <c r="Q54" s="203">
        <f t="shared" si="29"/>
        <v>130</v>
      </c>
      <c r="R54" s="203">
        <f t="shared" si="30"/>
        <v>130</v>
      </c>
      <c r="S54" s="203">
        <f t="shared" si="31"/>
        <v>130</v>
      </c>
      <c r="T54" s="203">
        <f t="shared" si="32"/>
        <v>130</v>
      </c>
      <c r="U54" s="203">
        <f t="shared" si="33"/>
        <v>130</v>
      </c>
      <c r="V54" s="203">
        <f t="shared" si="34"/>
        <v>569.4929718644635</v>
      </c>
      <c r="W54" s="205">
        <f t="shared" si="35"/>
        <v>534.7087275441654</v>
      </c>
      <c r="X54" s="197">
        <f t="shared" si="6"/>
        <v>46.19984171509036</v>
      </c>
      <c r="Y54" s="198">
        <f t="shared" si="7"/>
        <v>46.19984171509036</v>
      </c>
      <c r="Z54" s="198">
        <f t="shared" si="8"/>
        <v>46.19984171509036</v>
      </c>
      <c r="AA54" s="198">
        <f t="shared" si="9"/>
        <v>46.19984171509036</v>
      </c>
      <c r="AB54" s="198">
        <f t="shared" si="10"/>
        <v>46.19984171509036</v>
      </c>
      <c r="AC54" s="198">
        <f t="shared" si="11"/>
        <v>46.19984171509036</v>
      </c>
      <c r="AD54" s="198">
        <f t="shared" si="12"/>
        <v>46.19984171509036</v>
      </c>
      <c r="AE54" s="198">
        <f t="shared" si="13"/>
        <v>202.38834736918938</v>
      </c>
      <c r="AF54" s="206">
        <f t="shared" si="14"/>
        <v>190.02660443244474</v>
      </c>
      <c r="AG54" s="199">
        <f>rated_energyout*((1-'3.Inputs'!$J$17)^C54)</f>
        <v>3062.673427852616</v>
      </c>
      <c r="AH54" s="207">
        <f>AG54/((1+'3.Inputs'!$J$29)^C54)</f>
        <v>1088.4232891677236</v>
      </c>
      <c r="AI54" s="6"/>
      <c r="AN54" s="20"/>
    </row>
    <row r="55" spans="2:40" ht="15">
      <c r="B55" s="24"/>
      <c r="C55" s="201">
        <v>36</v>
      </c>
      <c r="D55" s="202">
        <f t="shared" si="15"/>
        <v>0</v>
      </c>
      <c r="E55" s="203">
        <f t="shared" si="16"/>
        <v>0</v>
      </c>
      <c r="F55" s="203">
        <f t="shared" si="17"/>
        <v>0</v>
      </c>
      <c r="G55" s="203">
        <f t="shared" si="18"/>
        <v>0</v>
      </c>
      <c r="H55" s="203">
        <f t="shared" si="19"/>
        <v>0</v>
      </c>
      <c r="I55" s="203">
        <f t="shared" si="20"/>
        <v>0</v>
      </c>
      <c r="J55" s="203">
        <f t="shared" si="21"/>
        <v>0</v>
      </c>
      <c r="K55" s="203">
        <f t="shared" si="22"/>
        <v>0</v>
      </c>
      <c r="L55" s="93">
        <f t="shared" si="23"/>
        <v>404.7087275441654</v>
      </c>
      <c r="M55" s="204">
        <f t="shared" si="24"/>
        <v>0</v>
      </c>
      <c r="N55" s="205">
        <f t="shared" si="25"/>
        <v>130</v>
      </c>
      <c r="O55" s="202">
        <f t="shared" si="27"/>
        <v>130</v>
      </c>
      <c r="P55" s="203">
        <f t="shared" si="28"/>
        <v>130</v>
      </c>
      <c r="Q55" s="203">
        <f t="shared" si="29"/>
        <v>130</v>
      </c>
      <c r="R55" s="203">
        <f t="shared" si="30"/>
        <v>130</v>
      </c>
      <c r="S55" s="203">
        <f t="shared" si="31"/>
        <v>130</v>
      </c>
      <c r="T55" s="203">
        <f t="shared" si="32"/>
        <v>130</v>
      </c>
      <c r="U55" s="203">
        <f t="shared" si="33"/>
        <v>130</v>
      </c>
      <c r="V55" s="203">
        <f t="shared" si="34"/>
        <v>130</v>
      </c>
      <c r="W55" s="205">
        <f t="shared" si="35"/>
        <v>534.7087275441654</v>
      </c>
      <c r="X55" s="197">
        <f t="shared" si="6"/>
        <v>44.85421525736928</v>
      </c>
      <c r="Y55" s="198">
        <f t="shared" si="7"/>
        <v>44.85421525736928</v>
      </c>
      <c r="Z55" s="198">
        <f t="shared" si="8"/>
        <v>44.85421525736928</v>
      </c>
      <c r="AA55" s="198">
        <f t="shared" si="9"/>
        <v>44.85421525736928</v>
      </c>
      <c r="AB55" s="198">
        <f t="shared" si="10"/>
        <v>44.85421525736928</v>
      </c>
      <c r="AC55" s="198">
        <f t="shared" si="11"/>
        <v>44.85421525736928</v>
      </c>
      <c r="AD55" s="198">
        <f t="shared" si="12"/>
        <v>44.85421525736928</v>
      </c>
      <c r="AE55" s="198">
        <f t="shared" si="13"/>
        <v>44.85421525736928</v>
      </c>
      <c r="AF55" s="206">
        <f t="shared" si="14"/>
        <v>184.4918489635386</v>
      </c>
      <c r="AG55" s="199">
        <f>rated_energyout*((1-'3.Inputs'!$J$17)^C55)</f>
        <v>3047.3600607133526</v>
      </c>
      <c r="AH55" s="207">
        <f>AG55/((1+'3.Inputs'!$J$29)^C55)</f>
        <v>1051.4380317688203</v>
      </c>
      <c r="AI55" s="6"/>
      <c r="AN55" s="20"/>
    </row>
    <row r="56" spans="2:40" ht="12.75" customHeight="1">
      <c r="B56" s="5"/>
      <c r="C56" s="201">
        <v>37</v>
      </c>
      <c r="D56" s="202">
        <f t="shared" si="15"/>
        <v>0</v>
      </c>
      <c r="E56" s="203">
        <f t="shared" si="16"/>
        <v>0</v>
      </c>
      <c r="F56" s="203">
        <f t="shared" si="17"/>
        <v>0</v>
      </c>
      <c r="G56" s="203">
        <f t="shared" si="18"/>
        <v>0</v>
      </c>
      <c r="H56" s="203">
        <f t="shared" si="19"/>
        <v>0</v>
      </c>
      <c r="I56" s="203">
        <f t="shared" si="20"/>
        <v>0</v>
      </c>
      <c r="J56" s="203">
        <f t="shared" si="21"/>
        <v>0</v>
      </c>
      <c r="K56" s="203">
        <f t="shared" si="22"/>
        <v>0</v>
      </c>
      <c r="L56" s="93">
        <f t="shared" si="23"/>
        <v>404.7087275441654</v>
      </c>
      <c r="M56" s="204">
        <f t="shared" si="24"/>
        <v>0</v>
      </c>
      <c r="N56" s="205">
        <f t="shared" si="25"/>
        <v>130</v>
      </c>
      <c r="O56" s="202">
        <f t="shared" si="27"/>
        <v>130</v>
      </c>
      <c r="P56" s="203">
        <f t="shared" si="28"/>
        <v>130</v>
      </c>
      <c r="Q56" s="203">
        <f t="shared" si="29"/>
        <v>130</v>
      </c>
      <c r="R56" s="203">
        <f t="shared" si="30"/>
        <v>130</v>
      </c>
      <c r="S56" s="203">
        <f t="shared" si="31"/>
        <v>130</v>
      </c>
      <c r="T56" s="203">
        <f t="shared" si="32"/>
        <v>130</v>
      </c>
      <c r="U56" s="203">
        <f t="shared" si="33"/>
        <v>130</v>
      </c>
      <c r="V56" s="203">
        <f t="shared" si="34"/>
        <v>130</v>
      </c>
      <c r="W56" s="205">
        <f t="shared" si="35"/>
        <v>534.7087275441654</v>
      </c>
      <c r="X56" s="197">
        <f t="shared" si="6"/>
        <v>43.54778180327115</v>
      </c>
      <c r="Y56" s="198">
        <f t="shared" si="7"/>
        <v>43.54778180327115</v>
      </c>
      <c r="Z56" s="198">
        <f t="shared" si="8"/>
        <v>43.54778180327115</v>
      </c>
      <c r="AA56" s="198">
        <f t="shared" si="9"/>
        <v>43.54778180327115</v>
      </c>
      <c r="AB56" s="198">
        <f t="shared" si="10"/>
        <v>43.54778180327115</v>
      </c>
      <c r="AC56" s="198">
        <f t="shared" si="11"/>
        <v>43.54778180327115</v>
      </c>
      <c r="AD56" s="198">
        <f t="shared" si="12"/>
        <v>43.54778180327115</v>
      </c>
      <c r="AE56" s="198">
        <f t="shared" si="13"/>
        <v>43.54778180327115</v>
      </c>
      <c r="AF56" s="206">
        <f t="shared" si="14"/>
        <v>179.1182999646006</v>
      </c>
      <c r="AG56" s="199">
        <f>rated_energyout*((1-'3.Inputs'!$J$17)^C56)</f>
        <v>3032.1232604097863</v>
      </c>
      <c r="AH56" s="207">
        <f>AG56/((1+'3.Inputs'!$J$29)^C56)</f>
        <v>1015.7095549611422</v>
      </c>
      <c r="AI56" s="6"/>
      <c r="AN56" s="20"/>
    </row>
    <row r="57" spans="2:40" ht="12.75" customHeight="1">
      <c r="B57" s="50"/>
      <c r="C57" s="201">
        <v>38</v>
      </c>
      <c r="D57" s="202">
        <f t="shared" si="15"/>
        <v>0</v>
      </c>
      <c r="E57" s="203">
        <f t="shared" si="16"/>
        <v>0</v>
      </c>
      <c r="F57" s="203">
        <f t="shared" si="17"/>
        <v>0</v>
      </c>
      <c r="G57" s="203">
        <f t="shared" si="18"/>
        <v>0</v>
      </c>
      <c r="H57" s="203">
        <f t="shared" si="19"/>
        <v>0</v>
      </c>
      <c r="I57" s="203">
        <f t="shared" si="20"/>
        <v>0</v>
      </c>
      <c r="J57" s="203">
        <f t="shared" si="21"/>
        <v>0</v>
      </c>
      <c r="K57" s="203">
        <f t="shared" si="22"/>
        <v>0</v>
      </c>
      <c r="L57" s="93">
        <f t="shared" si="23"/>
        <v>404.7087275441654</v>
      </c>
      <c r="M57" s="204">
        <f t="shared" si="24"/>
        <v>0</v>
      </c>
      <c r="N57" s="205">
        <f t="shared" si="25"/>
        <v>130</v>
      </c>
      <c r="O57" s="202">
        <f t="shared" si="27"/>
        <v>130</v>
      </c>
      <c r="P57" s="203">
        <f t="shared" si="28"/>
        <v>130</v>
      </c>
      <c r="Q57" s="203">
        <f t="shared" si="29"/>
        <v>130</v>
      </c>
      <c r="R57" s="203">
        <f t="shared" si="30"/>
        <v>130</v>
      </c>
      <c r="S57" s="203">
        <f t="shared" si="31"/>
        <v>130</v>
      </c>
      <c r="T57" s="203">
        <f t="shared" si="32"/>
        <v>130</v>
      </c>
      <c r="U57" s="203">
        <f t="shared" si="33"/>
        <v>130</v>
      </c>
      <c r="V57" s="203">
        <f t="shared" si="34"/>
        <v>130</v>
      </c>
      <c r="W57" s="205">
        <f t="shared" si="35"/>
        <v>534.7087275441654</v>
      </c>
      <c r="X57" s="197">
        <f t="shared" si="6"/>
        <v>42.27939980900112</v>
      </c>
      <c r="Y57" s="198">
        <f t="shared" si="7"/>
        <v>42.27939980900112</v>
      </c>
      <c r="Z57" s="198">
        <f t="shared" si="8"/>
        <v>42.27939980900112</v>
      </c>
      <c r="AA57" s="198">
        <f t="shared" si="9"/>
        <v>42.27939980900112</v>
      </c>
      <c r="AB57" s="198">
        <f t="shared" si="10"/>
        <v>42.27939980900112</v>
      </c>
      <c r="AC57" s="198">
        <f t="shared" si="11"/>
        <v>42.27939980900112</v>
      </c>
      <c r="AD57" s="198">
        <f t="shared" si="12"/>
        <v>42.27939980900112</v>
      </c>
      <c r="AE57" s="198">
        <f t="shared" si="13"/>
        <v>42.27939980900112</v>
      </c>
      <c r="AF57" s="206">
        <f t="shared" si="14"/>
        <v>173.90126210155398</v>
      </c>
      <c r="AG57" s="199">
        <f>rated_energyout*((1-'3.Inputs'!$J$17)^C57)</f>
        <v>3016.962644107737</v>
      </c>
      <c r="AH57" s="207">
        <f>AG57/((1+'3.Inputs'!$J$29)^C57)</f>
        <v>981.1951526080936</v>
      </c>
      <c r="AI57" s="6"/>
      <c r="AN57" s="20"/>
    </row>
    <row r="58" spans="2:40" ht="12.75" customHeight="1">
      <c r="B58" s="50"/>
      <c r="C58" s="201">
        <v>39</v>
      </c>
      <c r="D58" s="202">
        <f t="shared" si="15"/>
        <v>0</v>
      </c>
      <c r="E58" s="203">
        <f t="shared" si="16"/>
        <v>0</v>
      </c>
      <c r="F58" s="203">
        <f t="shared" si="17"/>
        <v>0</v>
      </c>
      <c r="G58" s="203">
        <f t="shared" si="18"/>
        <v>0</v>
      </c>
      <c r="H58" s="203">
        <f t="shared" si="19"/>
        <v>0</v>
      </c>
      <c r="I58" s="203">
        <f t="shared" si="20"/>
        <v>0</v>
      </c>
      <c r="J58" s="203">
        <f t="shared" si="21"/>
        <v>0</v>
      </c>
      <c r="K58" s="203">
        <f t="shared" si="22"/>
        <v>0</v>
      </c>
      <c r="L58" s="93">
        <f t="shared" si="23"/>
        <v>404.7087275441654</v>
      </c>
      <c r="M58" s="204">
        <f t="shared" si="24"/>
        <v>0</v>
      </c>
      <c r="N58" s="205">
        <f t="shared" si="25"/>
        <v>130</v>
      </c>
      <c r="O58" s="202">
        <f t="shared" si="27"/>
        <v>130</v>
      </c>
      <c r="P58" s="203">
        <f t="shared" si="28"/>
        <v>130</v>
      </c>
      <c r="Q58" s="203">
        <f t="shared" si="29"/>
        <v>130</v>
      </c>
      <c r="R58" s="203">
        <f t="shared" si="30"/>
        <v>130</v>
      </c>
      <c r="S58" s="203">
        <f t="shared" si="31"/>
        <v>130</v>
      </c>
      <c r="T58" s="203">
        <f t="shared" si="32"/>
        <v>130</v>
      </c>
      <c r="U58" s="203">
        <f t="shared" si="33"/>
        <v>130</v>
      </c>
      <c r="V58" s="203">
        <f t="shared" si="34"/>
        <v>130</v>
      </c>
      <c r="W58" s="205">
        <f t="shared" si="35"/>
        <v>534.7087275441654</v>
      </c>
      <c r="X58" s="197">
        <f t="shared" si="6"/>
        <v>41.04796097961273</v>
      </c>
      <c r="Y58" s="198">
        <f t="shared" si="7"/>
        <v>41.04796097961273</v>
      </c>
      <c r="Z58" s="198">
        <f t="shared" si="8"/>
        <v>41.04796097961273</v>
      </c>
      <c r="AA58" s="198">
        <f t="shared" si="9"/>
        <v>41.04796097961273</v>
      </c>
      <c r="AB58" s="198">
        <f t="shared" si="10"/>
        <v>41.04796097961273</v>
      </c>
      <c r="AC58" s="198">
        <f t="shared" si="11"/>
        <v>41.04796097961273</v>
      </c>
      <c r="AD58" s="198">
        <f t="shared" si="12"/>
        <v>41.04796097961273</v>
      </c>
      <c r="AE58" s="198">
        <f t="shared" si="13"/>
        <v>41.04796097961273</v>
      </c>
      <c r="AF58" s="206">
        <f t="shared" si="14"/>
        <v>168.8361767976252</v>
      </c>
      <c r="AG58" s="199">
        <f>rated_energyout*((1-'3.Inputs'!$J$17)^C58)</f>
        <v>3001.8778308871983</v>
      </c>
      <c r="AH58" s="207">
        <f>AG58/((1+'3.Inputs'!$J$29)^C58)</f>
        <v>947.8535697524786</v>
      </c>
      <c r="AI58" s="6"/>
      <c r="AN58" s="20"/>
    </row>
    <row r="59" spans="2:40" ht="12.75" customHeight="1" thickBot="1">
      <c r="B59" s="50"/>
      <c r="C59" s="208">
        <v>40</v>
      </c>
      <c r="D59" s="202">
        <f t="shared" si="15"/>
        <v>0</v>
      </c>
      <c r="E59" s="203">
        <f t="shared" si="16"/>
        <v>0</v>
      </c>
      <c r="F59" s="203">
        <f t="shared" si="17"/>
        <v>0</v>
      </c>
      <c r="G59" s="203">
        <f t="shared" si="18"/>
        <v>0</v>
      </c>
      <c r="H59" s="203">
        <f t="shared" si="19"/>
        <v>0</v>
      </c>
      <c r="I59" s="203">
        <f t="shared" si="20"/>
        <v>0</v>
      </c>
      <c r="J59" s="203">
        <f t="shared" si="21"/>
        <v>0</v>
      </c>
      <c r="K59" s="203">
        <f t="shared" si="22"/>
        <v>0</v>
      </c>
      <c r="L59" s="93">
        <f t="shared" si="23"/>
        <v>404.7087275441654</v>
      </c>
      <c r="M59" s="209">
        <f t="shared" si="24"/>
        <v>1170</v>
      </c>
      <c r="N59" s="210">
        <f t="shared" si="25"/>
        <v>130</v>
      </c>
      <c r="O59" s="211">
        <f t="shared" si="27"/>
        <v>1300</v>
      </c>
      <c r="P59" s="212">
        <f t="shared" si="28"/>
        <v>1300</v>
      </c>
      <c r="Q59" s="212">
        <f t="shared" si="29"/>
        <v>1300</v>
      </c>
      <c r="R59" s="212">
        <f t="shared" si="30"/>
        <v>1300</v>
      </c>
      <c r="S59" s="212">
        <f t="shared" si="31"/>
        <v>1300</v>
      </c>
      <c r="T59" s="212">
        <f t="shared" si="32"/>
        <v>1300</v>
      </c>
      <c r="U59" s="212">
        <f t="shared" si="33"/>
        <v>1300</v>
      </c>
      <c r="V59" s="212">
        <f t="shared" si="34"/>
        <v>1300</v>
      </c>
      <c r="W59" s="210">
        <f t="shared" si="35"/>
        <v>1704.7087275441654</v>
      </c>
      <c r="X59" s="213">
        <f t="shared" si="6"/>
        <v>398.52389300594893</v>
      </c>
      <c r="Y59" s="213">
        <f t="shared" si="7"/>
        <v>398.52389300594893</v>
      </c>
      <c r="Z59" s="213">
        <f t="shared" si="8"/>
        <v>398.52389300594893</v>
      </c>
      <c r="AA59" s="213">
        <f t="shared" si="9"/>
        <v>398.52389300594893</v>
      </c>
      <c r="AB59" s="213">
        <f t="shared" si="10"/>
        <v>398.52389300594893</v>
      </c>
      <c r="AC59" s="213">
        <f t="shared" si="11"/>
        <v>398.52389300594893</v>
      </c>
      <c r="AD59" s="213">
        <f t="shared" si="12"/>
        <v>398.52389300594893</v>
      </c>
      <c r="AE59" s="213">
        <f t="shared" si="13"/>
        <v>398.52389300594893</v>
      </c>
      <c r="AF59" s="214">
        <f t="shared" si="14"/>
        <v>522.5901219554756</v>
      </c>
      <c r="AG59" s="215">
        <f>rated_energyout*((1-'3.Inputs'!$J$17)^C59)</f>
        <v>2986.868441732762</v>
      </c>
      <c r="AH59" s="216">
        <f>AG59/((1+'3.Inputs'!$J$29)^C59)</f>
        <v>915.644953304579</v>
      </c>
      <c r="AI59" s="6"/>
      <c r="AN59" s="20"/>
    </row>
    <row r="60" spans="2:40" ht="12.75" customHeight="1" thickBot="1">
      <c r="B60" s="51"/>
      <c r="C60" s="32"/>
      <c r="D60" s="217"/>
      <c r="E60" s="218"/>
      <c r="F60" s="218"/>
      <c r="G60" s="218"/>
      <c r="H60" s="218"/>
      <c r="I60" s="218"/>
      <c r="J60" s="218"/>
      <c r="K60" s="218"/>
      <c r="L60" s="218"/>
      <c r="M60" s="218"/>
      <c r="N60" s="219"/>
      <c r="O60" s="219"/>
      <c r="P60" s="219"/>
      <c r="Q60" s="219"/>
      <c r="R60" s="219"/>
      <c r="S60" s="219"/>
      <c r="T60" s="219"/>
      <c r="U60" s="219"/>
      <c r="V60" s="219"/>
      <c r="W60" s="219"/>
      <c r="X60" s="218"/>
      <c r="Y60" s="218"/>
      <c r="Z60" s="218"/>
      <c r="AA60" s="218"/>
      <c r="AB60" s="218"/>
      <c r="AC60" s="218"/>
      <c r="AD60" s="218"/>
      <c r="AE60" s="218"/>
      <c r="AF60" s="218"/>
      <c r="AG60" s="218"/>
      <c r="AH60" s="218"/>
      <c r="AI60" s="220"/>
      <c r="AN60" s="20"/>
    </row>
    <row r="61" spans="3:35" ht="12.75" customHeight="1">
      <c r="C61" s="48"/>
      <c r="D61" s="221"/>
      <c r="E61" s="222"/>
      <c r="F61" s="222"/>
      <c r="G61" s="222"/>
      <c r="H61" s="222"/>
      <c r="I61" s="222"/>
      <c r="J61" s="222"/>
      <c r="K61" s="222"/>
      <c r="L61" s="222"/>
      <c r="M61" s="222"/>
      <c r="N61" s="223"/>
      <c r="O61" s="223"/>
      <c r="P61" s="223"/>
      <c r="Q61" s="223"/>
      <c r="R61" s="223"/>
      <c r="S61" s="223"/>
      <c r="T61" s="223"/>
      <c r="U61" s="223"/>
      <c r="V61" s="223"/>
      <c r="W61" s="223"/>
      <c r="X61" s="222"/>
      <c r="Y61" s="222"/>
      <c r="Z61" s="222"/>
      <c r="AA61" s="222"/>
      <c r="AB61" s="222"/>
      <c r="AC61" s="222"/>
      <c r="AD61" s="222"/>
      <c r="AE61" s="222"/>
      <c r="AF61" s="222"/>
      <c r="AG61" s="222"/>
      <c r="AH61" s="222"/>
      <c r="AI61" s="222"/>
    </row>
    <row r="62" spans="3:35" ht="12.75" customHeight="1">
      <c r="C62" s="48"/>
      <c r="D62" s="221"/>
      <c r="E62" s="222"/>
      <c r="F62" s="222"/>
      <c r="G62" s="222"/>
      <c r="H62" s="222"/>
      <c r="I62" s="222"/>
      <c r="J62" s="222"/>
      <c r="K62" s="222"/>
      <c r="L62" s="222"/>
      <c r="M62" s="222"/>
      <c r="N62" s="223"/>
      <c r="O62" s="223"/>
      <c r="P62" s="223"/>
      <c r="Q62" s="223"/>
      <c r="R62" s="223"/>
      <c r="S62" s="223"/>
      <c r="T62" s="223"/>
      <c r="U62" s="223"/>
      <c r="V62" s="223"/>
      <c r="W62" s="223"/>
      <c r="X62" s="222"/>
      <c r="Y62" s="222"/>
      <c r="Z62" s="222"/>
      <c r="AA62" s="222"/>
      <c r="AB62" s="222"/>
      <c r="AC62" s="222"/>
      <c r="AD62" s="222"/>
      <c r="AE62" s="222"/>
      <c r="AF62" s="222"/>
      <c r="AG62" s="222"/>
      <c r="AH62" s="222"/>
      <c r="AI62" s="222"/>
    </row>
    <row r="63" spans="3:35" ht="12.75" customHeight="1">
      <c r="C63" s="48"/>
      <c r="D63" s="221"/>
      <c r="E63" s="222"/>
      <c r="F63" s="222"/>
      <c r="G63" s="222"/>
      <c r="H63" s="222"/>
      <c r="I63" s="222"/>
      <c r="J63" s="222"/>
      <c r="K63" s="222"/>
      <c r="L63" s="222"/>
      <c r="M63" s="222"/>
      <c r="N63" s="223"/>
      <c r="O63" s="223"/>
      <c r="P63" s="223"/>
      <c r="Q63" s="223"/>
      <c r="R63" s="223"/>
      <c r="S63" s="223"/>
      <c r="T63" s="223"/>
      <c r="U63" s="223"/>
      <c r="V63" s="223"/>
      <c r="W63" s="223"/>
      <c r="X63" s="222"/>
      <c r="Y63" s="222"/>
      <c r="Z63" s="222"/>
      <c r="AA63" s="222"/>
      <c r="AB63" s="222"/>
      <c r="AC63" s="222"/>
      <c r="AD63" s="222"/>
      <c r="AE63" s="222"/>
      <c r="AF63" s="222"/>
      <c r="AG63" s="222"/>
      <c r="AH63" s="222"/>
      <c r="AI63" s="222"/>
    </row>
    <row r="64" spans="3:35" ht="12.75" customHeight="1">
      <c r="C64" s="48"/>
      <c r="D64" s="221"/>
      <c r="E64" s="222"/>
      <c r="F64" s="222"/>
      <c r="G64" s="222"/>
      <c r="H64" s="222"/>
      <c r="I64" s="222"/>
      <c r="J64" s="222"/>
      <c r="K64" s="222"/>
      <c r="L64" s="222"/>
      <c r="M64" s="222"/>
      <c r="N64" s="223"/>
      <c r="O64" s="223"/>
      <c r="P64" s="223"/>
      <c r="Q64" s="223"/>
      <c r="R64" s="223"/>
      <c r="S64" s="223"/>
      <c r="T64" s="223"/>
      <c r="U64" s="223"/>
      <c r="V64" s="223"/>
      <c r="W64" s="223"/>
      <c r="X64" s="222"/>
      <c r="Y64" s="222"/>
      <c r="Z64" s="222"/>
      <c r="AA64" s="222"/>
      <c r="AB64" s="222"/>
      <c r="AC64" s="222"/>
      <c r="AD64" s="222"/>
      <c r="AE64" s="222"/>
      <c r="AF64" s="222"/>
      <c r="AG64" s="222"/>
      <c r="AH64" s="222"/>
      <c r="AI64" s="222"/>
    </row>
    <row r="65" spans="3:35" ht="12.75" customHeight="1">
      <c r="C65" s="48"/>
      <c r="D65" s="221"/>
      <c r="E65" s="222"/>
      <c r="F65" s="222"/>
      <c r="G65" s="222"/>
      <c r="H65" s="222"/>
      <c r="I65" s="222"/>
      <c r="J65" s="222"/>
      <c r="K65" s="222"/>
      <c r="L65" s="222"/>
      <c r="M65" s="222"/>
      <c r="N65" s="223"/>
      <c r="O65" s="223"/>
      <c r="P65" s="223"/>
      <c r="Q65" s="223"/>
      <c r="R65" s="223"/>
      <c r="S65" s="223"/>
      <c r="T65" s="223"/>
      <c r="U65" s="223"/>
      <c r="V65" s="223"/>
      <c r="W65" s="223"/>
      <c r="X65" s="222"/>
      <c r="Y65" s="222"/>
      <c r="Z65" s="222"/>
      <c r="AA65" s="222"/>
      <c r="AB65" s="222"/>
      <c r="AC65" s="222"/>
      <c r="AD65" s="222"/>
      <c r="AE65" s="222"/>
      <c r="AF65" s="222"/>
      <c r="AG65" s="222"/>
      <c r="AH65" s="222"/>
      <c r="AI65" s="222"/>
    </row>
    <row r="66" spans="3:35" ht="12.75" customHeight="1">
      <c r="C66" s="48"/>
      <c r="D66" s="221"/>
      <c r="E66" s="222"/>
      <c r="F66" s="222"/>
      <c r="G66" s="222"/>
      <c r="H66" s="222"/>
      <c r="I66" s="222"/>
      <c r="J66" s="222"/>
      <c r="K66" s="222"/>
      <c r="L66" s="222"/>
      <c r="M66" s="222"/>
      <c r="N66" s="223"/>
      <c r="O66" s="223"/>
      <c r="P66" s="223"/>
      <c r="Q66" s="223"/>
      <c r="R66" s="223"/>
      <c r="S66" s="223"/>
      <c r="T66" s="223"/>
      <c r="U66" s="223"/>
      <c r="V66" s="223"/>
      <c r="W66" s="223"/>
      <c r="X66" s="222"/>
      <c r="Y66" s="222"/>
      <c r="Z66" s="222"/>
      <c r="AA66" s="222"/>
      <c r="AB66" s="222"/>
      <c r="AC66" s="222"/>
      <c r="AD66" s="222"/>
      <c r="AE66" s="222"/>
      <c r="AF66" s="222"/>
      <c r="AG66" s="222"/>
      <c r="AH66" s="222"/>
      <c r="AI66" s="222"/>
    </row>
    <row r="67" spans="3:35" ht="12.7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3:35" ht="12.7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3:35" ht="12.7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3:35" ht="12.7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3:40" s="52" customFormat="1" ht="18.7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224"/>
      <c r="AN71" s="224"/>
    </row>
    <row r="72" spans="3:35" ht="12.7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3:35" ht="12.7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3:35" ht="12.7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3:35" ht="12.7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3:35" ht="12.7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3:35" ht="12.7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3:35" ht="12.7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3:35" ht="12.7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3:35" ht="12.7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3:35" ht="12.7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3:35" ht="12.7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3:35" ht="12.7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3:35" ht="12.7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3:35" ht="12.7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3:35" ht="12.7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3:35" ht="12.7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3:35" ht="12.7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3:35" ht="12.7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3:35" ht="12.7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3:35" ht="12.7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3:35" ht="12.7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3:35" ht="12.7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3:35" ht="12.7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3:35" ht="12.7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3:35" ht="12.7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3:35" ht="12.7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3:35" ht="12.7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3:35" ht="12.7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3:35" ht="12.7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3:35" ht="12.7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3:35" ht="12.7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3:35" ht="12.7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3:35" ht="12.7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3:35" ht="12.7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3:35" ht="12.7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3:35" ht="12.7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3:35" ht="12.7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3:35" ht="12.7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3:35" ht="12.7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3:35" ht="12.7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3:35" ht="12.7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3:35" ht="12.7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3:35" ht="12.7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3:35" ht="12.7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3:35" ht="12.7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3:35" ht="12.7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3:35" ht="12.7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sheetData>
  <sheetProtection password="E7B2" sheet="1"/>
  <mergeCells count="20">
    <mergeCell ref="AH17:AH18"/>
    <mergeCell ref="N17:N18"/>
    <mergeCell ref="C5:AH5"/>
    <mergeCell ref="AD3:AF3"/>
    <mergeCell ref="C15:AH15"/>
    <mergeCell ref="AG17:AG18"/>
    <mergeCell ref="C17:C18"/>
    <mergeCell ref="O17:W17"/>
    <mergeCell ref="E3:AC3"/>
    <mergeCell ref="X17:AF17"/>
    <mergeCell ref="E16:L16"/>
    <mergeCell ref="P16:W16"/>
    <mergeCell ref="Y16:AF16"/>
    <mergeCell ref="C3:D3"/>
    <mergeCell ref="D17:L17"/>
    <mergeCell ref="M17:M18"/>
  </mergeCells>
  <hyperlinks>
    <hyperlink ref="AH16" location="assump_1" display="assump_1"/>
    <hyperlink ref="D16" location="assump_12" display="Assump_12"/>
  </hyperlinks>
  <printOptions/>
  <pageMargins left="0.236220472440945" right="0.236220472440945" top="0.748031496062992" bottom="0.748031496062992" header="0.31496062992126" footer="0.31496062992126"/>
  <pageSetup fitToHeight="2" horizontalDpi="300" verticalDpi="300" orientation="landscape" paperSize="9" scale="52" r:id="rId1"/>
  <headerFooter alignWithMargins="0">
    <oddHeader>&amp;L&amp;F&amp;R&amp;A</oddHeader>
    <oddFooter>&amp;LLast modified by user: &amp;D&amp;RPage &amp;P of &amp;N</oddFooter>
  </headerFooter>
  <colBreaks count="3" manualBreakCount="3">
    <brk id="12" min="2" max="58" man="1"/>
    <brk id="23" min="2" max="58" man="1"/>
    <brk id="34" min="2" max="58" man="1"/>
  </colBreaks>
</worksheet>
</file>

<file path=xl/worksheets/sheet6.xml><?xml version="1.0" encoding="utf-8"?>
<worksheet xmlns="http://schemas.openxmlformats.org/spreadsheetml/2006/main" xmlns:r="http://schemas.openxmlformats.org/officeDocument/2006/relationships">
  <dimension ref="A1:T59"/>
  <sheetViews>
    <sheetView zoomScalePageLayoutView="0" workbookViewId="0" topLeftCell="A36">
      <selection activeCell="D52" sqref="D52:D54"/>
    </sheetView>
  </sheetViews>
  <sheetFormatPr defaultColWidth="9.140625" defaultRowHeight="15"/>
  <cols>
    <col min="1" max="2" width="2.8515625" style="1" customWidth="1"/>
    <col min="3" max="3" width="9.7109375" style="1" customWidth="1"/>
    <col min="4" max="4" width="12.00390625" style="1" bestFit="1" customWidth="1"/>
    <col min="5" max="14" width="9.7109375" style="1" customWidth="1"/>
    <col min="15" max="15" width="11.28125" style="1" customWidth="1"/>
    <col min="16" max="16" width="2.8515625" style="1" customWidth="1"/>
    <col min="17" max="16384" width="9.140625" style="1" customWidth="1"/>
  </cols>
  <sheetData>
    <row r="1" spans="1:16" ht="16.5" thickBot="1">
      <c r="A1" s="79"/>
      <c r="B1" s="79"/>
      <c r="C1" s="79"/>
      <c r="D1" s="79"/>
      <c r="E1" s="79"/>
      <c r="F1" s="79"/>
      <c r="G1" s="79"/>
      <c r="H1" s="79"/>
      <c r="I1" s="79"/>
      <c r="J1" s="79"/>
      <c r="K1" s="79"/>
      <c r="L1" s="79"/>
      <c r="M1" s="79"/>
      <c r="N1" s="79"/>
      <c r="O1" s="79"/>
      <c r="P1" s="79"/>
    </row>
    <row r="2" spans="1:16" ht="15.75">
      <c r="A2" s="79"/>
      <c r="B2" s="225"/>
      <c r="C2" s="226"/>
      <c r="D2" s="226"/>
      <c r="E2" s="226"/>
      <c r="F2" s="226"/>
      <c r="G2" s="226"/>
      <c r="H2" s="226"/>
      <c r="I2" s="226"/>
      <c r="J2" s="226"/>
      <c r="K2" s="226"/>
      <c r="L2" s="226"/>
      <c r="M2" s="226"/>
      <c r="N2" s="226"/>
      <c r="O2" s="226"/>
      <c r="P2" s="227"/>
    </row>
    <row r="3" spans="1:16" ht="15.75">
      <c r="A3" s="79"/>
      <c r="B3" s="248"/>
      <c r="C3" s="481" t="s">
        <v>64</v>
      </c>
      <c r="D3" s="482"/>
      <c r="E3" s="482"/>
      <c r="F3" s="483"/>
      <c r="G3" s="380" t="s">
        <v>3</v>
      </c>
      <c r="H3" s="381"/>
      <c r="I3" s="381"/>
      <c r="J3" s="381"/>
      <c r="K3" s="475"/>
      <c r="L3" s="382" t="s">
        <v>0</v>
      </c>
      <c r="M3" s="383"/>
      <c r="N3" s="383"/>
      <c r="O3" s="78">
        <f>'1.Home'!H6</f>
        <v>41303</v>
      </c>
      <c r="P3" s="249"/>
    </row>
    <row r="4" spans="1:16" ht="16.5" thickBot="1">
      <c r="A4" s="79"/>
      <c r="B4" s="248"/>
      <c r="C4" s="252"/>
      <c r="D4" s="252"/>
      <c r="E4" s="252"/>
      <c r="F4" s="252"/>
      <c r="G4" s="252"/>
      <c r="H4" s="252"/>
      <c r="I4" s="252"/>
      <c r="J4" s="252"/>
      <c r="K4" s="252"/>
      <c r="L4" s="252"/>
      <c r="M4" s="252"/>
      <c r="N4" s="252"/>
      <c r="O4" s="252"/>
      <c r="P4" s="249"/>
    </row>
    <row r="5" spans="1:16" ht="32.25" thickBot="1">
      <c r="A5" s="79"/>
      <c r="B5" s="228"/>
      <c r="C5" s="476" t="s">
        <v>8</v>
      </c>
      <c r="D5" s="477"/>
      <c r="E5" s="477"/>
      <c r="F5" s="477"/>
      <c r="G5" s="477"/>
      <c r="H5" s="477"/>
      <c r="I5" s="477"/>
      <c r="J5" s="477"/>
      <c r="K5" s="477"/>
      <c r="L5" s="477"/>
      <c r="M5" s="477"/>
      <c r="N5" s="477"/>
      <c r="O5" s="478"/>
      <c r="P5" s="229"/>
    </row>
    <row r="6" spans="1:16" s="157" customFormat="1" ht="15">
      <c r="A6" s="230"/>
      <c r="B6" s="231"/>
      <c r="C6" s="484" t="s">
        <v>116</v>
      </c>
      <c r="D6" s="485"/>
      <c r="E6" s="485"/>
      <c r="F6" s="485"/>
      <c r="G6" s="485"/>
      <c r="H6" s="485"/>
      <c r="I6" s="485"/>
      <c r="J6" s="485"/>
      <c r="K6" s="485"/>
      <c r="L6" s="485"/>
      <c r="M6" s="485"/>
      <c r="N6" s="485"/>
      <c r="O6" s="486"/>
      <c r="P6" s="232"/>
    </row>
    <row r="7" spans="1:16" s="157" customFormat="1" ht="15.75" thickBot="1">
      <c r="A7" s="230"/>
      <c r="B7" s="231"/>
      <c r="C7" s="487"/>
      <c r="D7" s="488"/>
      <c r="E7" s="488"/>
      <c r="F7" s="488"/>
      <c r="G7" s="488"/>
      <c r="H7" s="488"/>
      <c r="I7" s="488"/>
      <c r="J7" s="488"/>
      <c r="K7" s="488"/>
      <c r="L7" s="488"/>
      <c r="M7" s="488"/>
      <c r="N7" s="488"/>
      <c r="O7" s="489"/>
      <c r="P7" s="232"/>
    </row>
    <row r="8" spans="1:16" ht="20.25" thickBot="1">
      <c r="A8" s="79"/>
      <c r="B8" s="228"/>
      <c r="C8" s="233" t="s">
        <v>46</v>
      </c>
      <c r="D8" s="234" t="s">
        <v>47</v>
      </c>
      <c r="E8" s="479" t="s">
        <v>48</v>
      </c>
      <c r="F8" s="479"/>
      <c r="G8" s="479"/>
      <c r="H8" s="479"/>
      <c r="I8" s="479"/>
      <c r="J8" s="479"/>
      <c r="K8" s="479"/>
      <c r="L8" s="479"/>
      <c r="M8" s="479"/>
      <c r="N8" s="479"/>
      <c r="O8" s="480"/>
      <c r="P8" s="229"/>
    </row>
    <row r="9" spans="1:16" ht="15" customHeight="1">
      <c r="A9" s="235"/>
      <c r="B9" s="236"/>
      <c r="C9" s="450">
        <v>1</v>
      </c>
      <c r="D9" s="449"/>
      <c r="E9" s="533" t="s">
        <v>133</v>
      </c>
      <c r="F9" s="534"/>
      <c r="G9" s="534"/>
      <c r="H9" s="534"/>
      <c r="I9" s="534"/>
      <c r="J9" s="534"/>
      <c r="K9" s="534"/>
      <c r="L9" s="534"/>
      <c r="M9" s="534"/>
      <c r="N9" s="534"/>
      <c r="O9" s="535"/>
      <c r="P9" s="237"/>
    </row>
    <row r="10" spans="1:16" ht="15" customHeight="1">
      <c r="A10" s="235"/>
      <c r="B10" s="236"/>
      <c r="C10" s="450"/>
      <c r="D10" s="449"/>
      <c r="E10" s="536"/>
      <c r="F10" s="537"/>
      <c r="G10" s="537"/>
      <c r="H10" s="537"/>
      <c r="I10" s="537"/>
      <c r="J10" s="537"/>
      <c r="K10" s="537"/>
      <c r="L10" s="537"/>
      <c r="M10" s="537"/>
      <c r="N10" s="537"/>
      <c r="O10" s="538"/>
      <c r="P10" s="237"/>
    </row>
    <row r="11" spans="1:16" ht="15" customHeight="1">
      <c r="A11" s="235"/>
      <c r="B11" s="236"/>
      <c r="C11" s="450"/>
      <c r="D11" s="449"/>
      <c r="E11" s="536"/>
      <c r="F11" s="537"/>
      <c r="G11" s="537"/>
      <c r="H11" s="537"/>
      <c r="I11" s="537"/>
      <c r="J11" s="537"/>
      <c r="K11" s="537"/>
      <c r="L11" s="537"/>
      <c r="M11" s="537"/>
      <c r="N11" s="537"/>
      <c r="O11" s="538"/>
      <c r="P11" s="237"/>
    </row>
    <row r="12" spans="1:16" ht="15" customHeight="1">
      <c r="A12" s="235"/>
      <c r="B12" s="236"/>
      <c r="C12" s="450"/>
      <c r="D12" s="449"/>
      <c r="E12" s="539" t="s">
        <v>136</v>
      </c>
      <c r="F12" s="540"/>
      <c r="G12" s="540"/>
      <c r="H12" s="540"/>
      <c r="I12" s="540"/>
      <c r="J12" s="540"/>
      <c r="K12" s="540"/>
      <c r="L12" s="540"/>
      <c r="M12" s="540"/>
      <c r="N12" s="540"/>
      <c r="O12" s="541"/>
      <c r="P12" s="237"/>
    </row>
    <row r="13" spans="1:16" ht="15" customHeight="1">
      <c r="A13" s="235"/>
      <c r="B13" s="236"/>
      <c r="C13" s="450"/>
      <c r="D13" s="449"/>
      <c r="E13" s="469" t="s">
        <v>134</v>
      </c>
      <c r="F13" s="470"/>
      <c r="G13" s="470"/>
      <c r="H13" s="470"/>
      <c r="I13" s="470"/>
      <c r="J13" s="470"/>
      <c r="K13" s="470"/>
      <c r="L13" s="470"/>
      <c r="M13" s="470"/>
      <c r="N13" s="470"/>
      <c r="O13" s="471"/>
      <c r="P13" s="237"/>
    </row>
    <row r="14" spans="1:16" ht="15" customHeight="1">
      <c r="A14" s="235"/>
      <c r="B14" s="236"/>
      <c r="C14" s="450"/>
      <c r="D14" s="449"/>
      <c r="E14" s="472" t="s">
        <v>135</v>
      </c>
      <c r="F14" s="473"/>
      <c r="G14" s="473"/>
      <c r="H14" s="473"/>
      <c r="I14" s="473"/>
      <c r="J14" s="473"/>
      <c r="K14" s="473"/>
      <c r="L14" s="473"/>
      <c r="M14" s="473"/>
      <c r="N14" s="473"/>
      <c r="O14" s="474"/>
      <c r="P14" s="237"/>
    </row>
    <row r="15" spans="1:16" ht="15" customHeight="1">
      <c r="A15" s="235"/>
      <c r="B15" s="236"/>
      <c r="C15" s="450"/>
      <c r="D15" s="449"/>
      <c r="E15" s="472"/>
      <c r="F15" s="473"/>
      <c r="G15" s="473"/>
      <c r="H15" s="473"/>
      <c r="I15" s="473"/>
      <c r="J15" s="473"/>
      <c r="K15" s="473"/>
      <c r="L15" s="473"/>
      <c r="M15" s="473"/>
      <c r="N15" s="473"/>
      <c r="O15" s="474"/>
      <c r="P15" s="237"/>
    </row>
    <row r="16" spans="1:16" ht="15" customHeight="1">
      <c r="A16" s="235"/>
      <c r="B16" s="236"/>
      <c r="C16" s="450"/>
      <c r="D16" s="449"/>
      <c r="E16" s="542" t="s">
        <v>132</v>
      </c>
      <c r="F16" s="543"/>
      <c r="G16" s="543"/>
      <c r="H16" s="543"/>
      <c r="I16" s="543"/>
      <c r="J16" s="543"/>
      <c r="K16" s="543"/>
      <c r="L16" s="543"/>
      <c r="M16" s="543"/>
      <c r="N16" s="543"/>
      <c r="O16" s="544"/>
      <c r="P16" s="237"/>
    </row>
    <row r="17" spans="1:20" ht="215.25" customHeight="1">
      <c r="A17" s="235"/>
      <c r="B17" s="236"/>
      <c r="C17" s="450"/>
      <c r="D17" s="449"/>
      <c r="E17" s="545"/>
      <c r="F17" s="546"/>
      <c r="G17" s="546"/>
      <c r="H17" s="546"/>
      <c r="I17" s="546"/>
      <c r="J17" s="546"/>
      <c r="K17" s="546"/>
      <c r="L17" s="546"/>
      <c r="M17" s="546"/>
      <c r="N17" s="546"/>
      <c r="O17" s="547"/>
      <c r="P17" s="237"/>
      <c r="T17" s="75"/>
    </row>
    <row r="18" spans="1:16" ht="15" customHeight="1">
      <c r="A18" s="235"/>
      <c r="B18" s="236"/>
      <c r="C18" s="457">
        <v>2</v>
      </c>
      <c r="D18" s="490"/>
      <c r="E18" s="451" t="s">
        <v>141</v>
      </c>
      <c r="F18" s="452"/>
      <c r="G18" s="452"/>
      <c r="H18" s="452"/>
      <c r="I18" s="452"/>
      <c r="J18" s="452"/>
      <c r="K18" s="452"/>
      <c r="L18" s="452"/>
      <c r="M18" s="452"/>
      <c r="N18" s="452"/>
      <c r="O18" s="453"/>
      <c r="P18" s="238"/>
    </row>
    <row r="19" spans="1:16" ht="15" customHeight="1">
      <c r="A19" s="235"/>
      <c r="B19" s="236"/>
      <c r="C19" s="465"/>
      <c r="D19" s="491"/>
      <c r="E19" s="278"/>
      <c r="F19" s="279"/>
      <c r="G19" s="279"/>
      <c r="H19" s="279"/>
      <c r="I19" s="279"/>
      <c r="J19" s="279"/>
      <c r="K19" s="279"/>
      <c r="L19" s="279"/>
      <c r="M19" s="279"/>
      <c r="N19" s="279"/>
      <c r="O19" s="280"/>
      <c r="P19" s="238"/>
    </row>
    <row r="20" spans="1:16" ht="15">
      <c r="A20" s="235"/>
      <c r="B20" s="236"/>
      <c r="C20" s="465"/>
      <c r="D20" s="491"/>
      <c r="E20" s="278"/>
      <c r="F20" s="279"/>
      <c r="G20" s="279"/>
      <c r="H20" s="279"/>
      <c r="I20" s="279"/>
      <c r="J20" s="279"/>
      <c r="K20" s="279"/>
      <c r="L20" s="279"/>
      <c r="M20" s="279"/>
      <c r="N20" s="279"/>
      <c r="O20" s="280"/>
      <c r="P20" s="238"/>
    </row>
    <row r="21" spans="1:16" ht="15">
      <c r="A21" s="235"/>
      <c r="B21" s="236"/>
      <c r="C21" s="465"/>
      <c r="D21" s="491"/>
      <c r="E21" s="506" t="s">
        <v>129</v>
      </c>
      <c r="F21" s="507"/>
      <c r="G21" s="507"/>
      <c r="H21" s="507"/>
      <c r="I21" s="507"/>
      <c r="J21" s="507"/>
      <c r="K21" s="507"/>
      <c r="L21" s="507"/>
      <c r="M21" s="507"/>
      <c r="N21" s="507"/>
      <c r="O21" s="508"/>
      <c r="P21" s="238"/>
    </row>
    <row r="22" spans="1:16" ht="15">
      <c r="A22" s="235"/>
      <c r="B22" s="236"/>
      <c r="C22" s="465"/>
      <c r="D22" s="491"/>
      <c r="E22" s="506" t="s">
        <v>130</v>
      </c>
      <c r="F22" s="507"/>
      <c r="G22" s="507"/>
      <c r="H22" s="507"/>
      <c r="I22" s="507"/>
      <c r="J22" s="507"/>
      <c r="K22" s="507"/>
      <c r="L22" s="507"/>
      <c r="M22" s="507"/>
      <c r="N22" s="507"/>
      <c r="O22" s="508"/>
      <c r="P22" s="238"/>
    </row>
    <row r="23" spans="1:16" ht="15">
      <c r="A23" s="235"/>
      <c r="B23" s="236"/>
      <c r="C23" s="465"/>
      <c r="D23" s="491"/>
      <c r="E23" s="278" t="s">
        <v>131</v>
      </c>
      <c r="F23" s="279"/>
      <c r="G23" s="279"/>
      <c r="H23" s="279"/>
      <c r="I23" s="279"/>
      <c r="J23" s="279"/>
      <c r="K23" s="279"/>
      <c r="L23" s="279"/>
      <c r="M23" s="279"/>
      <c r="N23" s="279"/>
      <c r="O23" s="280"/>
      <c r="P23" s="238"/>
    </row>
    <row r="24" spans="1:16" ht="15">
      <c r="A24" s="235"/>
      <c r="B24" s="236"/>
      <c r="C24" s="465"/>
      <c r="D24" s="491"/>
      <c r="E24" s="278"/>
      <c r="F24" s="279"/>
      <c r="G24" s="279"/>
      <c r="H24" s="279"/>
      <c r="I24" s="279"/>
      <c r="J24" s="279"/>
      <c r="K24" s="279"/>
      <c r="L24" s="279"/>
      <c r="M24" s="279"/>
      <c r="N24" s="279"/>
      <c r="O24" s="280"/>
      <c r="P24" s="238"/>
    </row>
    <row r="25" spans="1:16" ht="15">
      <c r="A25" s="235"/>
      <c r="B25" s="236"/>
      <c r="C25" s="465"/>
      <c r="D25" s="491"/>
      <c r="E25" s="278"/>
      <c r="F25" s="279"/>
      <c r="G25" s="279"/>
      <c r="H25" s="279"/>
      <c r="I25" s="279"/>
      <c r="J25" s="279"/>
      <c r="K25" s="279"/>
      <c r="L25" s="279"/>
      <c r="M25" s="279"/>
      <c r="N25" s="279"/>
      <c r="O25" s="280"/>
      <c r="P25" s="238"/>
    </row>
    <row r="26" spans="1:16" ht="15">
      <c r="A26" s="235"/>
      <c r="B26" s="236"/>
      <c r="C26" s="465"/>
      <c r="D26" s="491"/>
      <c r="E26" s="278"/>
      <c r="F26" s="279"/>
      <c r="G26" s="279"/>
      <c r="H26" s="279"/>
      <c r="I26" s="279"/>
      <c r="J26" s="279"/>
      <c r="K26" s="279"/>
      <c r="L26" s="279"/>
      <c r="M26" s="279"/>
      <c r="N26" s="279"/>
      <c r="O26" s="280"/>
      <c r="P26" s="238"/>
    </row>
    <row r="27" spans="1:16" ht="15">
      <c r="A27" s="235"/>
      <c r="B27" s="236"/>
      <c r="C27" s="458"/>
      <c r="D27" s="492"/>
      <c r="E27" s="454"/>
      <c r="F27" s="455"/>
      <c r="G27" s="455"/>
      <c r="H27" s="455"/>
      <c r="I27" s="455"/>
      <c r="J27" s="455"/>
      <c r="K27" s="455"/>
      <c r="L27" s="455"/>
      <c r="M27" s="455"/>
      <c r="N27" s="455"/>
      <c r="O27" s="456"/>
      <c r="P27" s="238"/>
    </row>
    <row r="28" spans="1:16" ht="15">
      <c r="A28" s="235"/>
      <c r="B28" s="236"/>
      <c r="C28" s="457">
        <v>3</v>
      </c>
      <c r="D28" s="493">
        <f>'3.Inputs'!J15</f>
        <v>10</v>
      </c>
      <c r="E28" s="496" t="str">
        <f>"The inverter replacement period is considered the performance or replacement warranty. As a 'worst-case' scenario, the cost of the invertor is applied as a maintenance cost in this calculator at the end of it's warrantied life; that is every "&amp;D28&amp;" years. Note that invertor warranties are improving, with some manufacturers offering as long as 25 year warranties (http://www.renewableenergyworld.com/rea/news/article/2011/06/enphase-energy-launches-third-gen-microinverters-with-25-year-warranty)."&amp;" When considering these invertors with longer terms, be sure to account for the increased cost accompanying them."</f>
        <v>The inverter replacement period is considered the performance or replacement warranty. As a 'worst-case' scenario, the cost of the invertor is applied as a maintenance cost in this calculator at the end of it's warrantied life; that is every 10 years. Note that invertor warranties are improving, with some manufacturers offering as long as 25 year warranties (http://www.renewableenergyworld.com/rea/news/article/2011/06/enphase-energy-launches-third-gen-microinverters-with-25-year-warranty). When considering these invertors with longer terms, be sure to account for the increased cost accompanying them.</v>
      </c>
      <c r="F28" s="497"/>
      <c r="G28" s="497"/>
      <c r="H28" s="497"/>
      <c r="I28" s="497"/>
      <c r="J28" s="497"/>
      <c r="K28" s="497"/>
      <c r="L28" s="497"/>
      <c r="M28" s="497"/>
      <c r="N28" s="497"/>
      <c r="O28" s="498"/>
      <c r="P28" s="238"/>
    </row>
    <row r="29" spans="1:16" ht="15">
      <c r="A29" s="235"/>
      <c r="B29" s="236"/>
      <c r="C29" s="465"/>
      <c r="D29" s="494"/>
      <c r="E29" s="499"/>
      <c r="F29" s="500"/>
      <c r="G29" s="500"/>
      <c r="H29" s="500"/>
      <c r="I29" s="500"/>
      <c r="J29" s="500"/>
      <c r="K29" s="500"/>
      <c r="L29" s="500"/>
      <c r="M29" s="500"/>
      <c r="N29" s="500"/>
      <c r="O29" s="501"/>
      <c r="P29" s="238"/>
    </row>
    <row r="30" spans="1:16" ht="15">
      <c r="A30" s="235"/>
      <c r="B30" s="236"/>
      <c r="C30" s="465"/>
      <c r="D30" s="494"/>
      <c r="E30" s="499"/>
      <c r="F30" s="500"/>
      <c r="G30" s="500"/>
      <c r="H30" s="500"/>
      <c r="I30" s="500"/>
      <c r="J30" s="500"/>
      <c r="K30" s="500"/>
      <c r="L30" s="500"/>
      <c r="M30" s="500"/>
      <c r="N30" s="500"/>
      <c r="O30" s="501"/>
      <c r="P30" s="238"/>
    </row>
    <row r="31" spans="1:16" ht="15">
      <c r="A31" s="235"/>
      <c r="B31" s="236"/>
      <c r="C31" s="465"/>
      <c r="D31" s="494"/>
      <c r="E31" s="499"/>
      <c r="F31" s="500"/>
      <c r="G31" s="500"/>
      <c r="H31" s="500"/>
      <c r="I31" s="500"/>
      <c r="J31" s="500"/>
      <c r="K31" s="500"/>
      <c r="L31" s="500"/>
      <c r="M31" s="500"/>
      <c r="N31" s="500"/>
      <c r="O31" s="501"/>
      <c r="P31" s="238"/>
    </row>
    <row r="32" spans="1:16" ht="15">
      <c r="A32" s="235"/>
      <c r="B32" s="236"/>
      <c r="C32" s="465"/>
      <c r="D32" s="494"/>
      <c r="E32" s="499"/>
      <c r="F32" s="500"/>
      <c r="G32" s="500"/>
      <c r="H32" s="500"/>
      <c r="I32" s="500"/>
      <c r="J32" s="500"/>
      <c r="K32" s="500"/>
      <c r="L32" s="500"/>
      <c r="M32" s="500"/>
      <c r="N32" s="500"/>
      <c r="O32" s="501"/>
      <c r="P32" s="238"/>
    </row>
    <row r="33" spans="1:16" ht="15">
      <c r="A33" s="235"/>
      <c r="B33" s="236"/>
      <c r="C33" s="465"/>
      <c r="D33" s="494"/>
      <c r="E33" s="502"/>
      <c r="F33" s="500"/>
      <c r="G33" s="500"/>
      <c r="H33" s="500"/>
      <c r="I33" s="500"/>
      <c r="J33" s="500"/>
      <c r="K33" s="500"/>
      <c r="L33" s="500"/>
      <c r="M33" s="500"/>
      <c r="N33" s="500"/>
      <c r="O33" s="501"/>
      <c r="P33" s="238"/>
    </row>
    <row r="34" spans="1:16" ht="15">
      <c r="A34" s="235"/>
      <c r="B34" s="236"/>
      <c r="C34" s="458"/>
      <c r="D34" s="495"/>
      <c r="E34" s="503"/>
      <c r="F34" s="504"/>
      <c r="G34" s="504"/>
      <c r="H34" s="504"/>
      <c r="I34" s="504"/>
      <c r="J34" s="504"/>
      <c r="K34" s="504"/>
      <c r="L34" s="504"/>
      <c r="M34" s="504"/>
      <c r="N34" s="504"/>
      <c r="O34" s="505"/>
      <c r="P34" s="238"/>
    </row>
    <row r="35" spans="1:16" ht="15">
      <c r="A35" s="235"/>
      <c r="B35" s="236"/>
      <c r="C35" s="457">
        <v>4</v>
      </c>
      <c r="D35" s="512">
        <f>'3.Inputs'!J16</f>
        <v>30</v>
      </c>
      <c r="E35" s="496" t="s">
        <v>142</v>
      </c>
      <c r="F35" s="516"/>
      <c r="G35" s="516"/>
      <c r="H35" s="516"/>
      <c r="I35" s="516"/>
      <c r="J35" s="516"/>
      <c r="K35" s="516"/>
      <c r="L35" s="516"/>
      <c r="M35" s="516"/>
      <c r="N35" s="516"/>
      <c r="O35" s="517"/>
      <c r="P35" s="238"/>
    </row>
    <row r="36" spans="1:16" ht="15">
      <c r="A36" s="235"/>
      <c r="B36" s="236"/>
      <c r="C36" s="465"/>
      <c r="D36" s="513"/>
      <c r="E36" s="499"/>
      <c r="F36" s="518"/>
      <c r="G36" s="518"/>
      <c r="H36" s="518"/>
      <c r="I36" s="518"/>
      <c r="J36" s="518"/>
      <c r="K36" s="518"/>
      <c r="L36" s="518"/>
      <c r="M36" s="518"/>
      <c r="N36" s="518"/>
      <c r="O36" s="519"/>
      <c r="P36" s="238"/>
    </row>
    <row r="37" spans="1:16" ht="15">
      <c r="A37" s="235"/>
      <c r="B37" s="236"/>
      <c r="C37" s="465"/>
      <c r="D37" s="513"/>
      <c r="E37" s="499"/>
      <c r="F37" s="518"/>
      <c r="G37" s="518"/>
      <c r="H37" s="518"/>
      <c r="I37" s="518"/>
      <c r="J37" s="518"/>
      <c r="K37" s="518"/>
      <c r="L37" s="518"/>
      <c r="M37" s="518"/>
      <c r="N37" s="518"/>
      <c r="O37" s="519"/>
      <c r="P37" s="238"/>
    </row>
    <row r="38" spans="1:16" ht="15.75">
      <c r="A38" s="79"/>
      <c r="B38" s="228"/>
      <c r="C38" s="457">
        <v>5</v>
      </c>
      <c r="D38" s="514">
        <f>'3.Inputs'!J17</f>
        <v>0.005</v>
      </c>
      <c r="E38" s="496" t="s">
        <v>123</v>
      </c>
      <c r="F38" s="516"/>
      <c r="G38" s="516"/>
      <c r="H38" s="516"/>
      <c r="I38" s="516"/>
      <c r="J38" s="516"/>
      <c r="K38" s="516"/>
      <c r="L38" s="516"/>
      <c r="M38" s="516"/>
      <c r="N38" s="516"/>
      <c r="O38" s="517"/>
      <c r="P38" s="238"/>
    </row>
    <row r="39" spans="1:16" ht="15.75">
      <c r="A39" s="79"/>
      <c r="B39" s="228"/>
      <c r="C39" s="465"/>
      <c r="D39" s="515"/>
      <c r="E39" s="499"/>
      <c r="F39" s="518"/>
      <c r="G39" s="518"/>
      <c r="H39" s="518"/>
      <c r="I39" s="518"/>
      <c r="J39" s="518"/>
      <c r="K39" s="518"/>
      <c r="L39" s="518"/>
      <c r="M39" s="518"/>
      <c r="N39" s="518"/>
      <c r="O39" s="519"/>
      <c r="P39" s="238"/>
    </row>
    <row r="40" spans="1:16" ht="15.75">
      <c r="A40" s="79"/>
      <c r="B40" s="228"/>
      <c r="C40" s="465"/>
      <c r="D40" s="515"/>
      <c r="E40" s="499"/>
      <c r="F40" s="518"/>
      <c r="G40" s="518"/>
      <c r="H40" s="518"/>
      <c r="I40" s="518"/>
      <c r="J40" s="518"/>
      <c r="K40" s="518"/>
      <c r="L40" s="518"/>
      <c r="M40" s="518"/>
      <c r="N40" s="518"/>
      <c r="O40" s="519"/>
      <c r="P40" s="238"/>
    </row>
    <row r="41" spans="1:16" ht="15.75">
      <c r="A41" s="79"/>
      <c r="B41" s="228"/>
      <c r="C41" s="457">
        <v>6</v>
      </c>
      <c r="D41" s="548"/>
      <c r="E41" s="527" t="s">
        <v>124</v>
      </c>
      <c r="F41" s="528"/>
      <c r="G41" s="528"/>
      <c r="H41" s="528"/>
      <c r="I41" s="528"/>
      <c r="J41" s="528"/>
      <c r="K41" s="528"/>
      <c r="L41" s="528"/>
      <c r="M41" s="528"/>
      <c r="N41" s="528"/>
      <c r="O41" s="529"/>
      <c r="P41" s="238"/>
    </row>
    <row r="42" spans="1:16" ht="15.75">
      <c r="A42" s="79"/>
      <c r="B42" s="228"/>
      <c r="C42" s="458"/>
      <c r="D42" s="549"/>
      <c r="E42" s="530"/>
      <c r="F42" s="531"/>
      <c r="G42" s="531"/>
      <c r="H42" s="531"/>
      <c r="I42" s="531"/>
      <c r="J42" s="531"/>
      <c r="K42" s="531"/>
      <c r="L42" s="531"/>
      <c r="M42" s="531"/>
      <c r="N42" s="531"/>
      <c r="O42" s="532"/>
      <c r="P42" s="238"/>
    </row>
    <row r="43" spans="1:16" ht="15.75">
      <c r="A43" s="79"/>
      <c r="B43" s="228"/>
      <c r="C43" s="465">
        <v>7</v>
      </c>
      <c r="D43" s="491"/>
      <c r="E43" s="520" t="s">
        <v>125</v>
      </c>
      <c r="F43" s="521"/>
      <c r="G43" s="521"/>
      <c r="H43" s="521"/>
      <c r="I43" s="521"/>
      <c r="J43" s="521"/>
      <c r="K43" s="521"/>
      <c r="L43" s="521"/>
      <c r="M43" s="521"/>
      <c r="N43" s="521"/>
      <c r="O43" s="522"/>
      <c r="P43" s="229"/>
    </row>
    <row r="44" spans="1:16" ht="15.75">
      <c r="A44" s="79"/>
      <c r="B44" s="228"/>
      <c r="C44" s="465"/>
      <c r="D44" s="491"/>
      <c r="E44" s="523"/>
      <c r="F44" s="524"/>
      <c r="G44" s="524"/>
      <c r="H44" s="524"/>
      <c r="I44" s="524"/>
      <c r="J44" s="524"/>
      <c r="K44" s="524"/>
      <c r="L44" s="524"/>
      <c r="M44" s="524"/>
      <c r="N44" s="524"/>
      <c r="O44" s="525"/>
      <c r="P44" s="229"/>
    </row>
    <row r="45" spans="1:16" ht="15.75">
      <c r="A45" s="79"/>
      <c r="B45" s="228"/>
      <c r="C45" s="465"/>
      <c r="D45" s="491"/>
      <c r="E45" s="526"/>
      <c r="F45" s="524"/>
      <c r="G45" s="524"/>
      <c r="H45" s="524"/>
      <c r="I45" s="524"/>
      <c r="J45" s="524"/>
      <c r="K45" s="524"/>
      <c r="L45" s="524"/>
      <c r="M45" s="524"/>
      <c r="N45" s="524"/>
      <c r="O45" s="525"/>
      <c r="P45" s="229"/>
    </row>
    <row r="46" spans="1:16" ht="15.75">
      <c r="A46" s="79"/>
      <c r="B46" s="228"/>
      <c r="C46" s="465"/>
      <c r="D46" s="491"/>
      <c r="E46" s="526"/>
      <c r="F46" s="524"/>
      <c r="G46" s="524"/>
      <c r="H46" s="524"/>
      <c r="I46" s="524"/>
      <c r="J46" s="524"/>
      <c r="K46" s="524"/>
      <c r="L46" s="524"/>
      <c r="M46" s="524"/>
      <c r="N46" s="524"/>
      <c r="O46" s="525"/>
      <c r="P46" s="229"/>
    </row>
    <row r="47" spans="1:16" ht="15.75" customHeight="1">
      <c r="A47" s="79"/>
      <c r="B47" s="228"/>
      <c r="C47" s="457">
        <v>8</v>
      </c>
      <c r="D47" s="468">
        <v>0.01</v>
      </c>
      <c r="E47" s="451" t="s">
        <v>143</v>
      </c>
      <c r="F47" s="452"/>
      <c r="G47" s="452"/>
      <c r="H47" s="452"/>
      <c r="I47" s="452"/>
      <c r="J47" s="452"/>
      <c r="K47" s="452"/>
      <c r="L47" s="452"/>
      <c r="M47" s="452"/>
      <c r="N47" s="452"/>
      <c r="O47" s="453"/>
      <c r="P47" s="229"/>
    </row>
    <row r="48" spans="1:16" ht="15.75">
      <c r="A48" s="79"/>
      <c r="B48" s="228"/>
      <c r="C48" s="458"/>
      <c r="D48" s="467"/>
      <c r="E48" s="454"/>
      <c r="F48" s="455"/>
      <c r="G48" s="455"/>
      <c r="H48" s="455"/>
      <c r="I48" s="455"/>
      <c r="J48" s="455"/>
      <c r="K48" s="455"/>
      <c r="L48" s="455"/>
      <c r="M48" s="455"/>
      <c r="N48" s="455"/>
      <c r="O48" s="456"/>
      <c r="P48" s="229"/>
    </row>
    <row r="49" spans="1:16" ht="15.75">
      <c r="A49" s="79"/>
      <c r="B49" s="228"/>
      <c r="C49" s="465">
        <v>9</v>
      </c>
      <c r="D49" s="466">
        <v>0.09</v>
      </c>
      <c r="E49" s="459" t="s">
        <v>144</v>
      </c>
      <c r="F49" s="460"/>
      <c r="G49" s="460"/>
      <c r="H49" s="460"/>
      <c r="I49" s="460"/>
      <c r="J49" s="460"/>
      <c r="K49" s="460"/>
      <c r="L49" s="460"/>
      <c r="M49" s="460"/>
      <c r="N49" s="460"/>
      <c r="O49" s="461"/>
      <c r="P49" s="229"/>
    </row>
    <row r="50" spans="1:16" ht="15.75">
      <c r="A50" s="79"/>
      <c r="B50" s="228"/>
      <c r="C50" s="465"/>
      <c r="D50" s="466"/>
      <c r="E50" s="459"/>
      <c r="F50" s="460"/>
      <c r="G50" s="460"/>
      <c r="H50" s="460"/>
      <c r="I50" s="460"/>
      <c r="J50" s="460"/>
      <c r="K50" s="460"/>
      <c r="L50" s="460"/>
      <c r="M50" s="460"/>
      <c r="N50" s="460"/>
      <c r="O50" s="461"/>
      <c r="P50" s="229"/>
    </row>
    <row r="51" spans="1:16" ht="15.75" customHeight="1">
      <c r="A51" s="79"/>
      <c r="B51" s="228"/>
      <c r="C51" s="458"/>
      <c r="D51" s="467"/>
      <c r="E51" s="462"/>
      <c r="F51" s="463"/>
      <c r="G51" s="463"/>
      <c r="H51" s="463"/>
      <c r="I51" s="463"/>
      <c r="J51" s="463"/>
      <c r="K51" s="463"/>
      <c r="L51" s="463"/>
      <c r="M51" s="463"/>
      <c r="N51" s="463"/>
      <c r="O51" s="464"/>
      <c r="P51" s="229"/>
    </row>
    <row r="52" spans="1:16" ht="15.75" customHeight="1">
      <c r="A52" s="79"/>
      <c r="B52" s="228"/>
      <c r="C52" s="465">
        <v>10</v>
      </c>
      <c r="D52" s="490"/>
      <c r="E52" s="565" t="s">
        <v>145</v>
      </c>
      <c r="F52" s="566"/>
      <c r="G52" s="566"/>
      <c r="H52" s="566"/>
      <c r="I52" s="566"/>
      <c r="J52" s="566"/>
      <c r="K52" s="566"/>
      <c r="L52" s="566"/>
      <c r="M52" s="566"/>
      <c r="N52" s="566"/>
      <c r="O52" s="567"/>
      <c r="P52" s="229"/>
    </row>
    <row r="53" spans="1:16" ht="15.75">
      <c r="A53" s="79"/>
      <c r="B53" s="228"/>
      <c r="C53" s="465"/>
      <c r="D53" s="491"/>
      <c r="E53" s="568"/>
      <c r="F53" s="569"/>
      <c r="G53" s="569"/>
      <c r="H53" s="569"/>
      <c r="I53" s="569"/>
      <c r="J53" s="569"/>
      <c r="K53" s="569"/>
      <c r="L53" s="569"/>
      <c r="M53" s="569"/>
      <c r="N53" s="569"/>
      <c r="O53" s="570"/>
      <c r="P53" s="229"/>
    </row>
    <row r="54" spans="1:16" ht="15.75">
      <c r="A54" s="79"/>
      <c r="B54" s="228"/>
      <c r="C54" s="465"/>
      <c r="D54" s="492"/>
      <c r="E54" s="571"/>
      <c r="F54" s="572"/>
      <c r="G54" s="572"/>
      <c r="H54" s="572"/>
      <c r="I54" s="572"/>
      <c r="J54" s="572"/>
      <c r="K54" s="572"/>
      <c r="L54" s="572"/>
      <c r="M54" s="572"/>
      <c r="N54" s="572"/>
      <c r="O54" s="573"/>
      <c r="P54" s="229"/>
    </row>
    <row r="55" spans="1:16" ht="45.75" customHeight="1">
      <c r="A55" s="79"/>
      <c r="B55" s="228"/>
      <c r="C55" s="239">
        <v>11</v>
      </c>
      <c r="D55" s="251"/>
      <c r="E55" s="509" t="s">
        <v>146</v>
      </c>
      <c r="F55" s="510"/>
      <c r="G55" s="510"/>
      <c r="H55" s="510"/>
      <c r="I55" s="510"/>
      <c r="J55" s="510"/>
      <c r="K55" s="510"/>
      <c r="L55" s="510"/>
      <c r="M55" s="510"/>
      <c r="N55" s="510"/>
      <c r="O55" s="511"/>
      <c r="P55" s="229"/>
    </row>
    <row r="56" spans="1:16" ht="15.75">
      <c r="A56" s="79"/>
      <c r="B56" s="228"/>
      <c r="C56" s="550">
        <v>12</v>
      </c>
      <c r="D56" s="553">
        <f>'3.Inputs'!J32</f>
        <v>13</v>
      </c>
      <c r="E56" s="556" t="s">
        <v>147</v>
      </c>
      <c r="F56" s="557"/>
      <c r="G56" s="557"/>
      <c r="H56" s="557"/>
      <c r="I56" s="557"/>
      <c r="J56" s="557"/>
      <c r="K56" s="557"/>
      <c r="L56" s="557"/>
      <c r="M56" s="557"/>
      <c r="N56" s="557"/>
      <c r="O56" s="558"/>
      <c r="P56" s="229"/>
    </row>
    <row r="57" spans="1:16" ht="15.75">
      <c r="A57" s="79"/>
      <c r="B57" s="228"/>
      <c r="C57" s="551"/>
      <c r="D57" s="554"/>
      <c r="E57" s="559"/>
      <c r="F57" s="560"/>
      <c r="G57" s="560"/>
      <c r="H57" s="560"/>
      <c r="I57" s="560"/>
      <c r="J57" s="560"/>
      <c r="K57" s="560"/>
      <c r="L57" s="560"/>
      <c r="M57" s="560"/>
      <c r="N57" s="560"/>
      <c r="O57" s="561"/>
      <c r="P57" s="229"/>
    </row>
    <row r="58" spans="1:16" ht="16.5" thickBot="1">
      <c r="A58" s="79"/>
      <c r="B58" s="228"/>
      <c r="C58" s="552"/>
      <c r="D58" s="555"/>
      <c r="E58" s="562"/>
      <c r="F58" s="563"/>
      <c r="G58" s="563"/>
      <c r="H58" s="563"/>
      <c r="I58" s="563"/>
      <c r="J58" s="563"/>
      <c r="K58" s="563"/>
      <c r="L58" s="563"/>
      <c r="M58" s="563"/>
      <c r="N58" s="563"/>
      <c r="O58" s="564"/>
      <c r="P58" s="229"/>
    </row>
    <row r="59" spans="1:16" ht="16.5" thickBot="1">
      <c r="A59" s="79"/>
      <c r="B59" s="240"/>
      <c r="C59" s="247"/>
      <c r="D59" s="247"/>
      <c r="E59" s="241"/>
      <c r="F59" s="241"/>
      <c r="G59" s="241"/>
      <c r="H59" s="241"/>
      <c r="I59" s="241"/>
      <c r="J59" s="241"/>
      <c r="K59" s="241"/>
      <c r="L59" s="241"/>
      <c r="M59" s="241"/>
      <c r="N59" s="241"/>
      <c r="O59" s="241"/>
      <c r="P59" s="242"/>
    </row>
  </sheetData>
  <sheetProtection password="E7B2" sheet="1"/>
  <mergeCells count="48">
    <mergeCell ref="C56:C58"/>
    <mergeCell ref="D56:D58"/>
    <mergeCell ref="E56:O58"/>
    <mergeCell ref="E52:O54"/>
    <mergeCell ref="D52:D54"/>
    <mergeCell ref="C35:C37"/>
    <mergeCell ref="E41:O42"/>
    <mergeCell ref="C52:C54"/>
    <mergeCell ref="E9:O11"/>
    <mergeCell ref="E12:O12"/>
    <mergeCell ref="E16:O16"/>
    <mergeCell ref="E17:O17"/>
    <mergeCell ref="D41:D42"/>
    <mergeCell ref="E55:O55"/>
    <mergeCell ref="D35:D37"/>
    <mergeCell ref="C38:C40"/>
    <mergeCell ref="D38:D40"/>
    <mergeCell ref="E35:O37"/>
    <mergeCell ref="E38:O40"/>
    <mergeCell ref="C41:C42"/>
    <mergeCell ref="C43:C46"/>
    <mergeCell ref="D43:D46"/>
    <mergeCell ref="E43:O46"/>
    <mergeCell ref="C18:C27"/>
    <mergeCell ref="D18:D27"/>
    <mergeCell ref="C28:C34"/>
    <mergeCell ref="D28:D34"/>
    <mergeCell ref="E28:O34"/>
    <mergeCell ref="E18:O20"/>
    <mergeCell ref="E23:O27"/>
    <mergeCell ref="E22:O22"/>
    <mergeCell ref="E21:O21"/>
    <mergeCell ref="G3:K3"/>
    <mergeCell ref="L3:N3"/>
    <mergeCell ref="C5:O5"/>
    <mergeCell ref="E8:O8"/>
    <mergeCell ref="C3:F3"/>
    <mergeCell ref="C6:O7"/>
    <mergeCell ref="D9:D17"/>
    <mergeCell ref="C9:C17"/>
    <mergeCell ref="E47:O48"/>
    <mergeCell ref="C47:C48"/>
    <mergeCell ref="E49:O51"/>
    <mergeCell ref="C49:C51"/>
    <mergeCell ref="D49:D51"/>
    <mergeCell ref="D47:D48"/>
    <mergeCell ref="E13:O13"/>
    <mergeCell ref="E14:O15"/>
  </mergeCells>
  <hyperlinks>
    <hyperlink ref="G3:K3" location="'1.Home'!A1" display="Please review disclaimer on the home tab"/>
    <hyperlink ref="E16" r:id="rId1" display="https://www.nrel.gov/analysis/sam/"/>
    <hyperlink ref="E13:O13" r:id="rId2" display="doi: http://dx.doi.org/10.1016/j.rser.2011.07.104"/>
    <hyperlink ref="E12:O12" r:id="rId3" display="Open-access link: http://hdl.handle.net/1974/6879"/>
  </hyperlinks>
  <printOptions/>
  <pageMargins left="0.7" right="0.7" top="0.75" bottom="0.75" header="0.3" footer="0.3"/>
  <pageSetup horizontalDpi="600" verticalDpi="600" orientation="portrait" scale="67" r:id="rId8"/>
  <headerFooter>
    <oddHeader>&amp;L&amp;F&amp;R&amp;A</oddHeader>
    <oddFooter>&amp;LLast modified by user: &amp;D&amp;RPage &amp;P of &amp;N</oddFooter>
  </headerFooter>
  <colBreaks count="1" manualBreakCount="1">
    <brk id="15" max="65535" man="1"/>
  </colBreaks>
  <drawing r:id="rId7"/>
  <legacyDrawing r:id="rId6"/>
  <oleObjects>
    <oleObject progId="Equation.3" shapeId="6131816" r:id="rId4"/>
    <oleObject progId="Equation.3" shapeId="6144231"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Kadra Branker</dc:creator>
  <cp:keywords/>
  <dc:description/>
  <cp:lastModifiedBy>Kadra Branker</cp:lastModifiedBy>
  <cp:lastPrinted>2011-10-03T01:52:39Z</cp:lastPrinted>
  <dcterms:created xsi:type="dcterms:W3CDTF">2011-05-17T16:30:47Z</dcterms:created>
  <dcterms:modified xsi:type="dcterms:W3CDTF">2013-01-30T02:59:28Z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